
<file path=[Content_Types].xml><?xml version="1.0" encoding="utf-8"?>
<Types xmlns="http://schemas.openxmlformats.org/package/2006/content-types">
  <Default Extension="xml" ContentType="application/xml"/>
  <Default Extension="vml" ContentType="application/vnd.openxmlformats-officedocument.vmlDrawi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showInkAnnotation="0" autoCompressPictures="0"/>
  <mc:AlternateContent xmlns:mc="http://schemas.openxmlformats.org/markup-compatibility/2006">
    <mc:Choice Requires="x15">
      <x15ac:absPath xmlns:x15ac="http://schemas.microsoft.com/office/spreadsheetml/2010/11/ac" url="/Users/andrewwood17/Dropbox/NPF/Excel model/"/>
    </mc:Choice>
  </mc:AlternateContent>
  <bookViews>
    <workbookView xWindow="200" yWindow="460" windowWidth="27580" windowHeight="16280" tabRatio="500" firstSheet="2" activeTab="3"/>
  </bookViews>
  <sheets>
    <sheet name="Sandra to complete" sheetId="21" state="hidden" r:id="rId1"/>
    <sheet name="Example" sheetId="22" state="hidden" r:id="rId2"/>
    <sheet name="Summary" sheetId="24" r:id="rId3"/>
    <sheet name="Ward Analysis" sheetId="4" r:id="rId4"/>
    <sheet name="List of projects" sheetId="1" state="hidden" r:id="rId5"/>
    <sheet name="Pivot" sheetId="30" r:id="rId6"/>
    <sheet name="Pivot (2)" sheetId="33" r:id="rId7"/>
    <sheet name="Pivot (3)" sheetId="34" r:id="rId8"/>
    <sheet name="Presentation Graph" sheetId="31" r:id="rId9"/>
    <sheet name="Ward Analysis Pivot Data" sheetId="29" r:id="rId10"/>
    <sheet name="LBTH Local Plan" sheetId="28" r:id="rId11"/>
    <sheet name="Density" sheetId="17" r:id="rId12"/>
    <sheet name="Hotel" sheetId="19" r:id="rId13"/>
    <sheet name="Height Graph" sheetId="8" r:id="rId14"/>
    <sheet name="NLA" sheetId="12" r:id="rId15"/>
    <sheet name="Skyscraper.com" sheetId="13" r:id="rId16"/>
    <sheet name="Pipeline" sheetId="14" r:id="rId17"/>
    <sheet name="Wood Wharf School calc" sheetId="5" state="hidden" r:id="rId18"/>
    <sheet name="Presentations" sheetId="6" state="hidden" r:id="rId19"/>
    <sheet name="Other" sheetId="7" state="hidden" r:id="rId20"/>
    <sheet name="Sheet1" sheetId="9" state="hidden" r:id="rId21"/>
    <sheet name="Walk" sheetId="15" state="hidden" r:id="rId22"/>
    <sheet name="Project Stone" sheetId="16" r:id="rId23"/>
    <sheet name="Sheet2" sheetId="20" state="hidden" r:id="rId24"/>
    <sheet name="Population stats" sheetId="27" r:id="rId25"/>
    <sheet name="Sheet4" sheetId="25" r:id="rId26"/>
    <sheet name="Sandra" sheetId="26" r:id="rId27"/>
  </sheets>
  <definedNames>
    <definedName name="_xlnm._FilterDatabase" localSheetId="14" hidden="1">NLA!$A$4:$H$238</definedName>
    <definedName name="_xlnm._FilterDatabase" localSheetId="15" hidden="1">Skyscraper.com!$A$4:$H$54</definedName>
    <definedName name="_xlnm._FilterDatabase" localSheetId="3" hidden="1">'Ward Analysis'!$A$8:$CP$8</definedName>
    <definedName name="_xlnm._FilterDatabase" localSheetId="9" hidden="1">'Ward Analysis Pivot Data'!$A$8:$T$8</definedName>
    <definedName name="_xlnm.Print_Area" localSheetId="11">Density!$A$1:$L$22</definedName>
    <definedName name="_xlnm.Print_Area" localSheetId="13">'Height Graph'!$A$1:$R$38</definedName>
    <definedName name="_xlnm.Print_Area" localSheetId="12">Hotel!$B$1:$H$18</definedName>
    <definedName name="_xlnm.Print_Area" localSheetId="10">'LBTH Local Plan'!$B$1:$G$41</definedName>
    <definedName name="_xlnm.Print_Area" localSheetId="4">'List of projects'!$A$1:$J$55</definedName>
    <definedName name="_xlnm.Print_Area" localSheetId="14">NLA!$A$1:$I$57</definedName>
    <definedName name="_xlnm.Print_Area" localSheetId="6">'Pivot (2)'!$A$1:$T$31</definedName>
    <definedName name="_xlnm.Print_Area" localSheetId="18">Presentations!$C$183:$G$212</definedName>
    <definedName name="_xlnm.Print_Area" localSheetId="22">'Project Stone'!$A$1:$O$8</definedName>
    <definedName name="_xlnm.Print_Area" localSheetId="26">Sandra!$A$1:$I$185</definedName>
    <definedName name="_xlnm.Print_Area" localSheetId="0">'Sandra to complete'!$A$1:$I$149</definedName>
    <definedName name="_xlnm.Print_Area" localSheetId="15">Skyscraper.com!$A$1:$I$54</definedName>
    <definedName name="_xlnm.Print_Area" localSheetId="2">Summary!$A$1:$M$51</definedName>
    <definedName name="_xlnm.Print_Area" localSheetId="21">Walk!$A$1:$C$82</definedName>
    <definedName name="_xlnm.Print_Area" localSheetId="3">'Ward Analysis'!$A$1:$W$230</definedName>
    <definedName name="_xlnm.Print_Area" localSheetId="9">'Ward Analysis Pivot Data'!$A$1:$S$79</definedName>
    <definedName name="_xlnm.Print_Titles" localSheetId="14">NLA!$1:$4</definedName>
    <definedName name="_xlnm.Print_Titles" localSheetId="26">Sandra!$8:$9</definedName>
    <definedName name="_xlnm.Print_Titles" localSheetId="0">'Sandra to complete'!$8:$9</definedName>
    <definedName name="_xlnm.Print_Titles" localSheetId="3">'Ward Analysis'!$8:$9</definedName>
    <definedName name="_xlnm.Print_Titles" localSheetId="9">'Ward Analysis Pivot Data'!$8:$8</definedName>
  </definedNames>
  <calcPr calcId="150001" concurrentCalc="0"/>
  <pivotCaches>
    <pivotCache cacheId="0" r:id="rId28"/>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V89" i="4" l="1"/>
  <c r="S78" i="4"/>
  <c r="Q89" i="4"/>
  <c r="S89" i="4"/>
  <c r="F76" i="27"/>
  <c r="E76" i="27"/>
  <c r="Q104" i="4"/>
  <c r="C25" i="24"/>
  <c r="Q103" i="4"/>
  <c r="D25" i="24"/>
  <c r="Q102" i="4"/>
  <c r="E25" i="24"/>
  <c r="Q101" i="4"/>
  <c r="F25" i="24"/>
  <c r="Q100" i="4"/>
  <c r="G25" i="24"/>
  <c r="Q88" i="4"/>
  <c r="Q99" i="4"/>
  <c r="H25" i="24"/>
  <c r="I25" i="24"/>
  <c r="F74" i="27"/>
  <c r="F77" i="27"/>
  <c r="F79" i="27"/>
  <c r="G79" i="27"/>
  <c r="G78" i="27"/>
  <c r="G77" i="27"/>
  <c r="G76" i="27"/>
  <c r="G75" i="27"/>
  <c r="G74" i="27"/>
  <c r="F78" i="27"/>
  <c r="F75" i="27"/>
  <c r="E79" i="27"/>
  <c r="E78" i="27"/>
  <c r="E77" i="27"/>
  <c r="E75" i="27"/>
  <c r="E74" i="27"/>
  <c r="C11" i="28"/>
  <c r="C15" i="28"/>
  <c r="C17" i="28"/>
  <c r="D11" i="28"/>
  <c r="D15" i="28"/>
  <c r="D17" i="28"/>
  <c r="E11" i="28"/>
  <c r="E15" i="28"/>
  <c r="E17" i="28"/>
  <c r="F11" i="28"/>
  <c r="F15" i="28"/>
  <c r="F17" i="28"/>
  <c r="R35" i="29"/>
  <c r="R50" i="29"/>
  <c r="R49" i="29"/>
  <c r="R20" i="29"/>
  <c r="R22" i="29"/>
  <c r="R24" i="29"/>
  <c r="W10" i="4"/>
  <c r="F21" i="28"/>
  <c r="F23" i="28"/>
  <c r="F24" i="28"/>
  <c r="E21" i="28"/>
  <c r="E23" i="28"/>
  <c r="E24" i="28"/>
  <c r="D21" i="28"/>
  <c r="D23" i="28"/>
  <c r="D24" i="28"/>
  <c r="C21" i="28"/>
  <c r="C23" i="28"/>
  <c r="C24" i="28"/>
  <c r="D18" i="28"/>
  <c r="E18" i="28"/>
  <c r="F18" i="28"/>
  <c r="C18" i="28"/>
  <c r="V162" i="4"/>
  <c r="C11" i="24"/>
  <c r="C38" i="24"/>
  <c r="V163" i="4"/>
  <c r="D11" i="24"/>
  <c r="D38" i="24"/>
  <c r="V164" i="4"/>
  <c r="E11" i="24"/>
  <c r="E38" i="24"/>
  <c r="V165" i="4"/>
  <c r="F11" i="24"/>
  <c r="F38" i="24"/>
  <c r="V166" i="4"/>
  <c r="G11" i="24"/>
  <c r="G38" i="24"/>
  <c r="V88" i="4"/>
  <c r="V167" i="4"/>
  <c r="H11" i="24"/>
  <c r="H38" i="24"/>
  <c r="I38" i="24"/>
  <c r="V169" i="4"/>
  <c r="J11" i="24"/>
  <c r="J38" i="24"/>
  <c r="K38" i="24"/>
  <c r="V80" i="4"/>
  <c r="G145" i="24"/>
  <c r="F146" i="24"/>
  <c r="R67" i="29"/>
  <c r="S67" i="29"/>
  <c r="Q111" i="4"/>
  <c r="O95" i="4"/>
  <c r="Q95" i="4"/>
  <c r="O94" i="4"/>
  <c r="Q94" i="4"/>
  <c r="S94" i="4"/>
  <c r="S95" i="4"/>
  <c r="S111" i="4"/>
  <c r="T111" i="4"/>
  <c r="V111" i="4"/>
  <c r="W111" i="4"/>
  <c r="O203" i="4"/>
  <c r="B15" i="24"/>
  <c r="B16" i="24"/>
  <c r="O13" i="4"/>
  <c r="O14" i="4"/>
  <c r="O15" i="4"/>
  <c r="O162" i="4"/>
  <c r="C15" i="24"/>
  <c r="C16" i="24"/>
  <c r="C17" i="24"/>
  <c r="O38" i="29"/>
  <c r="R45" i="29"/>
  <c r="R57" i="29"/>
  <c r="R62" i="29"/>
  <c r="O63" i="29"/>
  <c r="R63" i="29"/>
  <c r="R46" i="29"/>
  <c r="R47" i="29"/>
  <c r="R48" i="29"/>
  <c r="R54" i="29"/>
  <c r="R56" i="29"/>
  <c r="R59" i="29"/>
  <c r="O64" i="29"/>
  <c r="R64" i="29"/>
  <c r="R65" i="29"/>
  <c r="R69" i="29"/>
  <c r="O72" i="29"/>
  <c r="R40" i="29"/>
  <c r="R41" i="29"/>
  <c r="R42" i="29"/>
  <c r="R43" i="29"/>
  <c r="R44" i="29"/>
  <c r="R19" i="29"/>
  <c r="R30" i="29"/>
  <c r="R38" i="29"/>
  <c r="R36" i="29"/>
  <c r="R39" i="29"/>
  <c r="R25" i="29"/>
  <c r="R34" i="29"/>
  <c r="R37" i="29"/>
  <c r="O14" i="29"/>
  <c r="O13" i="29"/>
  <c r="R14" i="29"/>
  <c r="O15" i="29"/>
  <c r="R15" i="29"/>
  <c r="R16" i="29"/>
  <c r="R17" i="29"/>
  <c r="O77" i="29"/>
  <c r="Q21" i="29"/>
  <c r="Q22" i="29"/>
  <c r="Q24" i="29"/>
  <c r="Q25" i="29"/>
  <c r="Q26" i="29"/>
  <c r="Q28" i="29"/>
  <c r="Q30" i="29"/>
  <c r="Q31" i="29"/>
  <c r="Q32" i="29"/>
  <c r="Q33" i="29"/>
  <c r="Q34" i="29"/>
  <c r="Q36" i="29"/>
  <c r="Q58" i="29"/>
  <c r="Q62" i="29"/>
  <c r="Q37" i="29"/>
  <c r="Q57" i="29"/>
  <c r="Q65" i="29"/>
  <c r="Q45" i="29"/>
  <c r="Q63" i="29"/>
  <c r="Q64" i="29"/>
  <c r="Q54" i="29"/>
  <c r="Q49" i="29"/>
  <c r="Q52" i="29"/>
  <c r="Q50" i="29"/>
  <c r="Q48" i="29"/>
  <c r="Q51" i="29"/>
  <c r="Q55" i="29"/>
  <c r="Q56" i="29"/>
  <c r="Q46" i="29"/>
  <c r="Q47" i="29"/>
  <c r="Q53" i="29"/>
  <c r="Q59" i="29"/>
  <c r="Q60" i="29"/>
  <c r="Q61" i="29"/>
  <c r="Q66" i="29"/>
  <c r="Q68" i="29"/>
  <c r="Q69" i="29"/>
  <c r="Q44" i="29"/>
  <c r="Q20" i="29"/>
  <c r="P10" i="29"/>
  <c r="Q40" i="29"/>
  <c r="Q41" i="29"/>
  <c r="Q42" i="29"/>
  <c r="Q43" i="29"/>
  <c r="Q19" i="29"/>
  <c r="Q38" i="29"/>
  <c r="Q39" i="29"/>
  <c r="Q23" i="29"/>
  <c r="Q35" i="29"/>
  <c r="Q27" i="29"/>
  <c r="Q13" i="29"/>
  <c r="Q14" i="29"/>
  <c r="Q15" i="29"/>
  <c r="Q16" i="29"/>
  <c r="Q17" i="29"/>
  <c r="Q70" i="29"/>
  <c r="Q71" i="29"/>
  <c r="Q72" i="29"/>
  <c r="Q73" i="29"/>
  <c r="Q74" i="29"/>
  <c r="Q75" i="29"/>
  <c r="Q77" i="29"/>
  <c r="Q78" i="29"/>
  <c r="Q79" i="29"/>
  <c r="R71" i="29"/>
  <c r="R73" i="29"/>
  <c r="R74" i="29"/>
  <c r="R76" i="29"/>
  <c r="R78" i="29"/>
  <c r="R75" i="29"/>
  <c r="R77" i="29"/>
  <c r="R79" i="29"/>
  <c r="R72" i="29"/>
  <c r="R66" i="29"/>
  <c r="R68" i="29"/>
  <c r="S79" i="29"/>
  <c r="S78" i="29"/>
  <c r="S77" i="29"/>
  <c r="S76" i="29"/>
  <c r="S12" i="29"/>
  <c r="S75" i="29"/>
  <c r="S74" i="29"/>
  <c r="S73" i="29"/>
  <c r="S72" i="29"/>
  <c r="S71" i="29"/>
  <c r="S70" i="29"/>
  <c r="S11" i="29"/>
  <c r="S69" i="29"/>
  <c r="S68" i="29"/>
  <c r="S66" i="29"/>
  <c r="S65" i="29"/>
  <c r="S64" i="29"/>
  <c r="S63" i="29"/>
  <c r="S61" i="29"/>
  <c r="S60" i="29"/>
  <c r="S59" i="29"/>
  <c r="S58" i="29"/>
  <c r="S57" i="29"/>
  <c r="S56" i="29"/>
  <c r="S55" i="29"/>
  <c r="S54" i="29"/>
  <c r="S53" i="29"/>
  <c r="S52" i="29"/>
  <c r="S51" i="29"/>
  <c r="S50" i="29"/>
  <c r="S49" i="29"/>
  <c r="S48" i="29"/>
  <c r="S47" i="29"/>
  <c r="S46" i="29"/>
  <c r="S45" i="29"/>
  <c r="S10" i="29"/>
  <c r="S44" i="29"/>
  <c r="S43" i="29"/>
  <c r="S42" i="29"/>
  <c r="S41" i="29"/>
  <c r="S40" i="29"/>
  <c r="S39" i="29"/>
  <c r="S38" i="29"/>
  <c r="S37" i="29"/>
  <c r="S36" i="29"/>
  <c r="S35" i="29"/>
  <c r="S34" i="29"/>
  <c r="S33" i="29"/>
  <c r="S32" i="29"/>
  <c r="S31" i="29"/>
  <c r="S30" i="29"/>
  <c r="S28" i="29"/>
  <c r="S27" i="29"/>
  <c r="S26" i="29"/>
  <c r="S25" i="29"/>
  <c r="S24" i="29"/>
  <c r="S23" i="29"/>
  <c r="S22" i="29"/>
  <c r="S21" i="29"/>
  <c r="S20" i="29"/>
  <c r="S19" i="29"/>
  <c r="S17" i="29"/>
  <c r="S16" i="29"/>
  <c r="S15" i="29"/>
  <c r="S14" i="29"/>
  <c r="S9" i="29"/>
  <c r="Q110" i="4"/>
  <c r="S110" i="4"/>
  <c r="T110" i="4"/>
  <c r="V110" i="4"/>
  <c r="Q112" i="4"/>
  <c r="S112" i="4"/>
  <c r="T112" i="4"/>
  <c r="V112" i="4"/>
  <c r="V75" i="4"/>
  <c r="V93" i="4"/>
  <c r="V94" i="4"/>
  <c r="V76" i="4"/>
  <c r="V77" i="4"/>
  <c r="V78" i="4"/>
  <c r="V79" i="4"/>
  <c r="V85" i="4"/>
  <c r="V87" i="4"/>
  <c r="V90" i="4"/>
  <c r="V95" i="4"/>
  <c r="V96" i="4"/>
  <c r="V99" i="4"/>
  <c r="V100" i="4"/>
  <c r="V101" i="4"/>
  <c r="V102" i="4"/>
  <c r="V103" i="4"/>
  <c r="V104" i="4"/>
  <c r="V106" i="4"/>
  <c r="V107" i="4"/>
  <c r="V113" i="4"/>
  <c r="V115" i="4"/>
  <c r="O99" i="4"/>
  <c r="O100" i="4"/>
  <c r="O101" i="4"/>
  <c r="O102" i="4"/>
  <c r="O103" i="4"/>
  <c r="O104" i="4"/>
  <c r="O106" i="4"/>
  <c r="O107" i="4"/>
  <c r="O115" i="4"/>
  <c r="W115" i="4"/>
  <c r="W113" i="4"/>
  <c r="W112" i="4"/>
  <c r="W110" i="4"/>
  <c r="W107" i="4"/>
  <c r="W106" i="4"/>
  <c r="W104" i="4"/>
  <c r="W103" i="4"/>
  <c r="W102" i="4"/>
  <c r="W101" i="4"/>
  <c r="W100" i="4"/>
  <c r="W99" i="4"/>
  <c r="V56" i="4"/>
  <c r="W56" i="4"/>
  <c r="Q56" i="4"/>
  <c r="S56" i="4"/>
  <c r="T56" i="4"/>
  <c r="O40" i="4"/>
  <c r="O129" i="4"/>
  <c r="O167" i="4"/>
  <c r="H15" i="24"/>
  <c r="B25" i="24"/>
  <c r="Q76" i="4"/>
  <c r="Q77" i="4"/>
  <c r="Q83" i="4"/>
  <c r="Q78" i="4"/>
  <c r="Q81" i="4"/>
  <c r="Q86" i="4"/>
  <c r="Q87" i="4"/>
  <c r="Q75" i="4"/>
  <c r="Q79" i="4"/>
  <c r="Q80" i="4"/>
  <c r="Q82" i="4"/>
  <c r="Q85" i="4"/>
  <c r="Q90" i="4"/>
  <c r="Q91" i="4"/>
  <c r="Q92" i="4"/>
  <c r="Q93" i="4"/>
  <c r="Q96" i="4"/>
  <c r="Q113" i="4"/>
  <c r="J25" i="24"/>
  <c r="K25" i="24"/>
  <c r="L25" i="24"/>
  <c r="B26" i="24"/>
  <c r="Q130" i="4"/>
  <c r="Q131" i="4"/>
  <c r="Q137" i="4"/>
  <c r="C26" i="24"/>
  <c r="Q127" i="4"/>
  <c r="Q128" i="4"/>
  <c r="Q136" i="4"/>
  <c r="D26" i="24"/>
  <c r="Q132" i="4"/>
  <c r="Q135" i="4"/>
  <c r="F26" i="24"/>
  <c r="Q129" i="4"/>
  <c r="Q134" i="4"/>
  <c r="H26" i="24"/>
  <c r="I26" i="24"/>
  <c r="K26" i="24"/>
  <c r="L26" i="24"/>
  <c r="B27" i="24"/>
  <c r="Q153" i="4"/>
  <c r="C27" i="24"/>
  <c r="O149" i="4"/>
  <c r="Q149" i="4"/>
  <c r="Q150" i="4"/>
  <c r="Q154" i="4"/>
  <c r="D27" i="24"/>
  <c r="Q151" i="4"/>
  <c r="Q155" i="4"/>
  <c r="G27" i="24"/>
  <c r="I27" i="24"/>
  <c r="K27" i="24"/>
  <c r="L27" i="24"/>
  <c r="B24" i="24"/>
  <c r="Q13" i="4"/>
  <c r="Q14" i="4"/>
  <c r="Q15" i="4"/>
  <c r="Q16" i="4"/>
  <c r="Q17" i="4"/>
  <c r="Q21" i="4"/>
  <c r="Q22" i="4"/>
  <c r="Q23" i="4"/>
  <c r="Q24" i="4"/>
  <c r="Q25" i="4"/>
  <c r="Q26" i="4"/>
  <c r="Q27" i="4"/>
  <c r="Q28" i="4"/>
  <c r="Q29" i="4"/>
  <c r="Q30" i="4"/>
  <c r="Q32" i="4"/>
  <c r="Q33" i="4"/>
  <c r="Q34" i="4"/>
  <c r="Q35" i="4"/>
  <c r="Q36" i="4"/>
  <c r="Q37" i="4"/>
  <c r="Q38" i="4"/>
  <c r="Q39" i="4"/>
  <c r="Q40" i="4"/>
  <c r="Q41" i="4"/>
  <c r="Q48" i="4"/>
  <c r="C24" i="24"/>
  <c r="Q47" i="4"/>
  <c r="D24" i="24"/>
  <c r="Q46" i="4"/>
  <c r="E24" i="24"/>
  <c r="Q45" i="4"/>
  <c r="F24" i="24"/>
  <c r="Q44" i="4"/>
  <c r="G24" i="24"/>
  <c r="Q43" i="4"/>
  <c r="H24" i="24"/>
  <c r="I24" i="24"/>
  <c r="Q55" i="4"/>
  <c r="Q57" i="4"/>
  <c r="Q58" i="4"/>
  <c r="Q59" i="4"/>
  <c r="Q61" i="4"/>
  <c r="J24" i="24"/>
  <c r="K24" i="24"/>
  <c r="L24" i="24"/>
  <c r="Q203" i="4"/>
  <c r="B7" i="24"/>
  <c r="B30" i="24"/>
  <c r="Q175" i="4"/>
  <c r="Q176" i="4"/>
  <c r="Q177" i="4"/>
  <c r="Q178" i="4"/>
  <c r="Q179" i="4"/>
  <c r="Q180" i="4"/>
  <c r="Q181" i="4"/>
  <c r="C30" i="24"/>
  <c r="Q182" i="4"/>
  <c r="Q183" i="4"/>
  <c r="D30" i="24"/>
  <c r="Q184" i="4"/>
  <c r="Q185" i="4"/>
  <c r="E30" i="24"/>
  <c r="Q186" i="4"/>
  <c r="Q187" i="4"/>
  <c r="Q188" i="4"/>
  <c r="F30" i="24"/>
  <c r="Q189" i="4"/>
  <c r="Q50" i="4"/>
  <c r="Q51" i="4"/>
  <c r="Q62" i="4"/>
  <c r="Q106" i="4"/>
  <c r="Q107" i="4"/>
  <c r="Q115" i="4"/>
  <c r="Q116" i="4"/>
  <c r="Q139" i="4"/>
  <c r="Q140" i="4"/>
  <c r="Q190" i="4"/>
  <c r="Q191" i="4"/>
  <c r="G30" i="24"/>
  <c r="Q192" i="4"/>
  <c r="Q193" i="4"/>
  <c r="Q194" i="4"/>
  <c r="Q195" i="4"/>
  <c r="H30" i="24"/>
  <c r="I30" i="24"/>
  <c r="Q196" i="4"/>
  <c r="J30" i="24"/>
  <c r="K30" i="24"/>
  <c r="P175" i="4"/>
  <c r="P176" i="4"/>
  <c r="P177" i="4"/>
  <c r="P178" i="4"/>
  <c r="P179" i="4"/>
  <c r="P180" i="4"/>
  <c r="P181" i="4"/>
  <c r="P182" i="4"/>
  <c r="P183" i="4"/>
  <c r="P184" i="4"/>
  <c r="P185" i="4"/>
  <c r="P186" i="4"/>
  <c r="P187" i="4"/>
  <c r="P188" i="4"/>
  <c r="P189" i="4"/>
  <c r="P190" i="4"/>
  <c r="P191" i="4"/>
  <c r="P192" i="4"/>
  <c r="P193" i="4"/>
  <c r="P194" i="4"/>
  <c r="P195" i="4"/>
  <c r="P196" i="4"/>
  <c r="P197" i="4"/>
  <c r="P162" i="4"/>
  <c r="P163" i="4"/>
  <c r="P164" i="4"/>
  <c r="P165" i="4"/>
  <c r="P166" i="4"/>
  <c r="P167" i="4"/>
  <c r="P168" i="4"/>
  <c r="P169" i="4"/>
  <c r="P170" i="4"/>
  <c r="P198" i="4"/>
  <c r="Q197" i="4"/>
  <c r="Q162" i="4"/>
  <c r="Q163" i="4"/>
  <c r="Q164" i="4"/>
  <c r="Q165" i="4"/>
  <c r="Q166" i="4"/>
  <c r="Q167" i="4"/>
  <c r="Q168" i="4"/>
  <c r="Q169" i="4"/>
  <c r="Q170" i="4"/>
  <c r="Q198" i="4"/>
  <c r="R175" i="4"/>
  <c r="R176" i="4"/>
  <c r="R177" i="4"/>
  <c r="R178" i="4"/>
  <c r="R179" i="4"/>
  <c r="R180" i="4"/>
  <c r="R181" i="4"/>
  <c r="R182" i="4"/>
  <c r="R183" i="4"/>
  <c r="R184" i="4"/>
  <c r="R185" i="4"/>
  <c r="R186" i="4"/>
  <c r="R187" i="4"/>
  <c r="R188" i="4"/>
  <c r="R189" i="4"/>
  <c r="R190" i="4"/>
  <c r="R191" i="4"/>
  <c r="R192" i="4"/>
  <c r="R193" i="4"/>
  <c r="R194" i="4"/>
  <c r="R195" i="4"/>
  <c r="R196" i="4"/>
  <c r="R197" i="4"/>
  <c r="R162" i="4"/>
  <c r="R163" i="4"/>
  <c r="R164" i="4"/>
  <c r="R165" i="4"/>
  <c r="R166" i="4"/>
  <c r="R167" i="4"/>
  <c r="R168" i="4"/>
  <c r="R169" i="4"/>
  <c r="R170" i="4"/>
  <c r="R198" i="4"/>
  <c r="S175" i="4"/>
  <c r="S176" i="4"/>
  <c r="S177" i="4"/>
  <c r="S178" i="4"/>
  <c r="S179" i="4"/>
  <c r="S180" i="4"/>
  <c r="S181" i="4"/>
  <c r="S182" i="4"/>
  <c r="S183" i="4"/>
  <c r="S184" i="4"/>
  <c r="S185" i="4"/>
  <c r="S186" i="4"/>
  <c r="S187" i="4"/>
  <c r="S188" i="4"/>
  <c r="S189" i="4"/>
  <c r="S190" i="4"/>
  <c r="S191" i="4"/>
  <c r="S192" i="4"/>
  <c r="S193" i="4"/>
  <c r="S194" i="4"/>
  <c r="S195" i="4"/>
  <c r="S196" i="4"/>
  <c r="S197" i="4"/>
  <c r="S162" i="4"/>
  <c r="S163" i="4"/>
  <c r="S164" i="4"/>
  <c r="S165" i="4"/>
  <c r="S166" i="4"/>
  <c r="S167" i="4"/>
  <c r="S168" i="4"/>
  <c r="S169" i="4"/>
  <c r="S170" i="4"/>
  <c r="S198" i="4"/>
  <c r="T175" i="4"/>
  <c r="T176" i="4"/>
  <c r="T177" i="4"/>
  <c r="T178" i="4"/>
  <c r="T179" i="4"/>
  <c r="T180" i="4"/>
  <c r="T181" i="4"/>
  <c r="T182" i="4"/>
  <c r="T183" i="4"/>
  <c r="T184" i="4"/>
  <c r="T185" i="4"/>
  <c r="T186" i="4"/>
  <c r="T187" i="4"/>
  <c r="T188" i="4"/>
  <c r="T189" i="4"/>
  <c r="T190" i="4"/>
  <c r="T191" i="4"/>
  <c r="T192" i="4"/>
  <c r="T193" i="4"/>
  <c r="T194" i="4"/>
  <c r="T195" i="4"/>
  <c r="T196" i="4"/>
  <c r="T197" i="4"/>
  <c r="T162" i="4"/>
  <c r="T163" i="4"/>
  <c r="T164" i="4"/>
  <c r="T165" i="4"/>
  <c r="T166" i="4"/>
  <c r="T167" i="4"/>
  <c r="T168" i="4"/>
  <c r="T169" i="4"/>
  <c r="T170" i="4"/>
  <c r="T198" i="4"/>
  <c r="V14" i="4"/>
  <c r="V15" i="4"/>
  <c r="V175" i="4"/>
  <c r="V16" i="4"/>
  <c r="V176" i="4"/>
  <c r="V177" i="4"/>
  <c r="V178" i="4"/>
  <c r="V17" i="4"/>
  <c r="V179" i="4"/>
  <c r="V180" i="4"/>
  <c r="V128" i="4"/>
  <c r="V130" i="4"/>
  <c r="V21" i="4"/>
  <c r="V27" i="4"/>
  <c r="V32" i="4"/>
  <c r="V36" i="4"/>
  <c r="V38" i="4"/>
  <c r="V39" i="4"/>
  <c r="V40" i="4"/>
  <c r="V41" i="4"/>
  <c r="V43" i="4"/>
  <c r="V44" i="4"/>
  <c r="V45" i="4"/>
  <c r="V46" i="4"/>
  <c r="V47" i="4"/>
  <c r="V48" i="4"/>
  <c r="V50" i="4"/>
  <c r="V51" i="4"/>
  <c r="V55" i="4"/>
  <c r="V57" i="4"/>
  <c r="V58" i="4"/>
  <c r="V59" i="4"/>
  <c r="V61" i="4"/>
  <c r="V62" i="4"/>
  <c r="V116" i="4"/>
  <c r="V129" i="4"/>
  <c r="V131" i="4"/>
  <c r="V132" i="4"/>
  <c r="V134" i="4"/>
  <c r="V135" i="4"/>
  <c r="V136" i="4"/>
  <c r="V137" i="4"/>
  <c r="O134" i="4"/>
  <c r="O135" i="4"/>
  <c r="O136" i="4"/>
  <c r="O137" i="4"/>
  <c r="O139" i="4"/>
  <c r="V139" i="4"/>
  <c r="V140" i="4"/>
  <c r="V148" i="4"/>
  <c r="V149" i="4"/>
  <c r="V150" i="4"/>
  <c r="V151" i="4"/>
  <c r="V181" i="4"/>
  <c r="V182" i="4"/>
  <c r="V183" i="4"/>
  <c r="V184" i="4"/>
  <c r="V185" i="4"/>
  <c r="V186" i="4"/>
  <c r="V187" i="4"/>
  <c r="V188" i="4"/>
  <c r="V189" i="4"/>
  <c r="V190" i="4"/>
  <c r="V191" i="4"/>
  <c r="V192" i="4"/>
  <c r="V193" i="4"/>
  <c r="V194" i="4"/>
  <c r="V195" i="4"/>
  <c r="V196" i="4"/>
  <c r="V197" i="4"/>
  <c r="V168" i="4"/>
  <c r="V170" i="4"/>
  <c r="V198" i="4"/>
  <c r="O175" i="4"/>
  <c r="O176" i="4"/>
  <c r="O177" i="4"/>
  <c r="O178" i="4"/>
  <c r="O179" i="4"/>
  <c r="O180" i="4"/>
  <c r="O181" i="4"/>
  <c r="O182" i="4"/>
  <c r="O183" i="4"/>
  <c r="O184" i="4"/>
  <c r="O185" i="4"/>
  <c r="O186" i="4"/>
  <c r="O187" i="4"/>
  <c r="O188" i="4"/>
  <c r="O189" i="4"/>
  <c r="O190" i="4"/>
  <c r="O191" i="4"/>
  <c r="O192" i="4"/>
  <c r="O193" i="4"/>
  <c r="O194" i="4"/>
  <c r="O195" i="4"/>
  <c r="O196" i="4"/>
  <c r="O197" i="4"/>
  <c r="O163" i="4"/>
  <c r="O164" i="4"/>
  <c r="O165" i="4"/>
  <c r="O166" i="4"/>
  <c r="O168" i="4"/>
  <c r="O169" i="4"/>
  <c r="O170" i="4"/>
  <c r="O198" i="4"/>
  <c r="P134" i="4"/>
  <c r="P135" i="4"/>
  <c r="P136" i="4"/>
  <c r="P137" i="4"/>
  <c r="P139" i="4"/>
  <c r="C19" i="24"/>
  <c r="D19" i="24"/>
  <c r="E19" i="24"/>
  <c r="F19" i="24"/>
  <c r="G19" i="24"/>
  <c r="H19" i="24"/>
  <c r="P68" i="4"/>
  <c r="P203" i="4"/>
  <c r="B19" i="24"/>
  <c r="I19" i="24"/>
  <c r="J19" i="24"/>
  <c r="K19" i="24"/>
  <c r="J20" i="24"/>
  <c r="K20" i="24"/>
  <c r="B20" i="24"/>
  <c r="K21" i="24"/>
  <c r="J21" i="24"/>
  <c r="C20" i="24"/>
  <c r="D20" i="24"/>
  <c r="E20" i="24"/>
  <c r="F20" i="24"/>
  <c r="G20" i="24"/>
  <c r="H20" i="24"/>
  <c r="I20" i="24"/>
  <c r="I21" i="24"/>
  <c r="H21" i="24"/>
  <c r="G21" i="24"/>
  <c r="F21" i="24"/>
  <c r="E21" i="24"/>
  <c r="D21" i="24"/>
  <c r="C21" i="24"/>
  <c r="F42" i="24"/>
  <c r="F44" i="24"/>
  <c r="G42" i="24"/>
  <c r="G44" i="24"/>
  <c r="H42" i="24"/>
  <c r="H44" i="24"/>
  <c r="D42" i="24"/>
  <c r="D44" i="24"/>
  <c r="I43" i="24"/>
  <c r="K43" i="24"/>
  <c r="C42" i="24"/>
  <c r="C44" i="24"/>
  <c r="E42" i="24"/>
  <c r="E44" i="24"/>
  <c r="I44" i="24"/>
  <c r="J42" i="24"/>
  <c r="J44" i="24"/>
  <c r="K44" i="24"/>
  <c r="I42" i="24"/>
  <c r="K42" i="24"/>
  <c r="C39" i="24"/>
  <c r="I39" i="24"/>
  <c r="K39" i="24"/>
  <c r="C40" i="24"/>
  <c r="D40" i="24"/>
  <c r="E40" i="24"/>
  <c r="F40" i="24"/>
  <c r="G40" i="24"/>
  <c r="H40" i="24"/>
  <c r="I40" i="24"/>
  <c r="J40" i="24"/>
  <c r="K40" i="24"/>
  <c r="C7" i="24"/>
  <c r="C33" i="24"/>
  <c r="D7" i="24"/>
  <c r="D33" i="24"/>
  <c r="E7" i="24"/>
  <c r="E33" i="24"/>
  <c r="F7" i="24"/>
  <c r="F33" i="24"/>
  <c r="G7" i="24"/>
  <c r="G33" i="24"/>
  <c r="H7" i="24"/>
  <c r="H33" i="24"/>
  <c r="I33" i="24"/>
  <c r="J7" i="24"/>
  <c r="J33" i="24"/>
  <c r="K33" i="24"/>
  <c r="C35" i="24"/>
  <c r="D35" i="24"/>
  <c r="E35" i="24"/>
  <c r="F35" i="24"/>
  <c r="G35" i="24"/>
  <c r="H35" i="24"/>
  <c r="I35" i="24"/>
  <c r="J35" i="24"/>
  <c r="K35" i="24"/>
  <c r="D15" i="24"/>
  <c r="E15" i="24"/>
  <c r="F15" i="24"/>
  <c r="G15" i="24"/>
  <c r="I15" i="24"/>
  <c r="J15" i="24"/>
  <c r="J16" i="24"/>
  <c r="K16" i="24"/>
  <c r="K17" i="24"/>
  <c r="K15" i="24"/>
  <c r="D16" i="24"/>
  <c r="E16" i="24"/>
  <c r="F16" i="24"/>
  <c r="G16" i="24"/>
  <c r="H16" i="24"/>
  <c r="I16" i="24"/>
  <c r="I17" i="24"/>
  <c r="J17" i="24"/>
  <c r="H17" i="24"/>
  <c r="G17" i="24"/>
  <c r="F17" i="24"/>
  <c r="E17" i="24"/>
  <c r="D17" i="24"/>
  <c r="V203" i="4"/>
  <c r="B11" i="24"/>
  <c r="I11" i="24"/>
  <c r="J12" i="24"/>
  <c r="K12" i="24"/>
  <c r="B12" i="24"/>
  <c r="K13" i="24"/>
  <c r="J13" i="24"/>
  <c r="C12" i="24"/>
  <c r="D12" i="24"/>
  <c r="E12" i="24"/>
  <c r="F12" i="24"/>
  <c r="G12" i="24"/>
  <c r="H12" i="24"/>
  <c r="I12" i="24"/>
  <c r="I13" i="24"/>
  <c r="H13" i="24"/>
  <c r="G13" i="24"/>
  <c r="F13" i="24"/>
  <c r="E13" i="24"/>
  <c r="D13" i="24"/>
  <c r="C13" i="24"/>
  <c r="I7" i="24"/>
  <c r="J8" i="24"/>
  <c r="K8" i="24"/>
  <c r="B8" i="24"/>
  <c r="C8" i="24"/>
  <c r="D8" i="24"/>
  <c r="E8" i="24"/>
  <c r="F8" i="24"/>
  <c r="G8" i="24"/>
  <c r="H8" i="24"/>
  <c r="I8" i="24"/>
  <c r="K9" i="24"/>
  <c r="J9" i="24"/>
  <c r="I9" i="24"/>
  <c r="H9" i="24"/>
  <c r="G9" i="24"/>
  <c r="F9" i="24"/>
  <c r="E9" i="24"/>
  <c r="D9" i="24"/>
  <c r="C9" i="24"/>
  <c r="K11" i="24"/>
  <c r="K7" i="24"/>
  <c r="P140" i="4"/>
  <c r="P99" i="4"/>
  <c r="P100" i="4"/>
  <c r="P101" i="4"/>
  <c r="P102" i="4"/>
  <c r="P103" i="4"/>
  <c r="P104" i="4"/>
  <c r="P106" i="4"/>
  <c r="P107" i="4"/>
  <c r="P115" i="4"/>
  <c r="P61" i="4"/>
  <c r="P43" i="4"/>
  <c r="P44" i="4"/>
  <c r="P45" i="4"/>
  <c r="P46" i="4"/>
  <c r="P47" i="4"/>
  <c r="P48" i="4"/>
  <c r="P50" i="4"/>
  <c r="P51" i="4"/>
  <c r="P62" i="4"/>
  <c r="P153" i="4"/>
  <c r="P154" i="4"/>
  <c r="P155" i="4"/>
  <c r="P156" i="4"/>
  <c r="P157" i="4"/>
  <c r="P173" i="4"/>
  <c r="Q156" i="4"/>
  <c r="Q157" i="4"/>
  <c r="Q173" i="4"/>
  <c r="R99" i="4"/>
  <c r="R100" i="4"/>
  <c r="R101" i="4"/>
  <c r="R102" i="4"/>
  <c r="R103" i="4"/>
  <c r="R104" i="4"/>
  <c r="R106" i="4"/>
  <c r="R68" i="4"/>
  <c r="R107" i="4"/>
  <c r="R115" i="4"/>
  <c r="R153" i="4"/>
  <c r="R154" i="4"/>
  <c r="R155" i="4"/>
  <c r="R156" i="4"/>
  <c r="R144" i="4"/>
  <c r="R157" i="4"/>
  <c r="R173" i="4"/>
  <c r="S127" i="4"/>
  <c r="S128" i="4"/>
  <c r="S130" i="4"/>
  <c r="S131" i="4"/>
  <c r="S132" i="4"/>
  <c r="S140" i="4"/>
  <c r="S55" i="4"/>
  <c r="S61" i="4"/>
  <c r="S43" i="4"/>
  <c r="S44" i="4"/>
  <c r="S45" i="4"/>
  <c r="S46" i="4"/>
  <c r="S47" i="4"/>
  <c r="S48" i="4"/>
  <c r="S50" i="4"/>
  <c r="S51" i="4"/>
  <c r="S62" i="4"/>
  <c r="S99" i="4"/>
  <c r="S100" i="4"/>
  <c r="S101" i="4"/>
  <c r="S102" i="4"/>
  <c r="S103" i="4"/>
  <c r="S104" i="4"/>
  <c r="S106" i="4"/>
  <c r="S107" i="4"/>
  <c r="S96" i="4"/>
  <c r="S113" i="4"/>
  <c r="S115" i="4"/>
  <c r="S153" i="4"/>
  <c r="S154" i="4"/>
  <c r="S155" i="4"/>
  <c r="S156" i="4"/>
  <c r="S157" i="4"/>
  <c r="S173" i="4"/>
  <c r="T132" i="4"/>
  <c r="T140" i="4"/>
  <c r="T55" i="4"/>
  <c r="T61" i="4"/>
  <c r="T43" i="4"/>
  <c r="T44" i="4"/>
  <c r="T45" i="4"/>
  <c r="T46" i="4"/>
  <c r="T47" i="4"/>
  <c r="T48" i="4"/>
  <c r="T50" i="4"/>
  <c r="T51" i="4"/>
  <c r="T62" i="4"/>
  <c r="T99" i="4"/>
  <c r="T100" i="4"/>
  <c r="T101" i="4"/>
  <c r="T102" i="4"/>
  <c r="T103" i="4"/>
  <c r="T104" i="4"/>
  <c r="T106" i="4"/>
  <c r="T107" i="4"/>
  <c r="T113" i="4"/>
  <c r="T115" i="4"/>
  <c r="T153" i="4"/>
  <c r="T154" i="4"/>
  <c r="T155" i="4"/>
  <c r="T156" i="4"/>
  <c r="T157" i="4"/>
  <c r="T173" i="4"/>
  <c r="O153" i="4"/>
  <c r="O154" i="4"/>
  <c r="O155" i="4"/>
  <c r="O156" i="4"/>
  <c r="V156" i="4"/>
  <c r="V157" i="4"/>
  <c r="V173" i="4"/>
  <c r="O48" i="4"/>
  <c r="O43" i="4"/>
  <c r="O44" i="4"/>
  <c r="O45" i="4"/>
  <c r="O46" i="4"/>
  <c r="O47" i="4"/>
  <c r="O50" i="4"/>
  <c r="O51" i="4"/>
  <c r="O61" i="4"/>
  <c r="O62" i="4"/>
  <c r="O140" i="4"/>
  <c r="O157" i="4"/>
  <c r="O173" i="4"/>
  <c r="P160" i="4"/>
  <c r="P171" i="4"/>
  <c r="Q160" i="4"/>
  <c r="Q171" i="4"/>
  <c r="R160" i="4"/>
  <c r="R171" i="4"/>
  <c r="S160" i="4"/>
  <c r="S171" i="4"/>
  <c r="T160" i="4"/>
  <c r="T171" i="4"/>
  <c r="V160" i="4"/>
  <c r="V171" i="4"/>
  <c r="O160" i="4"/>
  <c r="O171" i="4"/>
  <c r="W160" i="4"/>
  <c r="W162" i="4"/>
  <c r="R137" i="4"/>
  <c r="S137" i="4"/>
  <c r="T137" i="4"/>
  <c r="W137" i="4"/>
  <c r="W62" i="4"/>
  <c r="W61" i="4"/>
  <c r="W59" i="4"/>
  <c r="W58" i="4"/>
  <c r="W57" i="4"/>
  <c r="W55" i="4"/>
  <c r="W17" i="4"/>
  <c r="W16" i="4"/>
  <c r="W15" i="4"/>
  <c r="W14" i="4"/>
  <c r="W51" i="4"/>
  <c r="W50" i="4"/>
  <c r="W48" i="4"/>
  <c r="W47" i="4"/>
  <c r="W46" i="4"/>
  <c r="W45" i="4"/>
  <c r="W44" i="4"/>
  <c r="W43" i="4"/>
  <c r="W140" i="4"/>
  <c r="W139" i="4"/>
  <c r="W135" i="4"/>
  <c r="W134" i="4"/>
  <c r="W136" i="4"/>
  <c r="W132" i="4"/>
  <c r="W131" i="4"/>
  <c r="W130" i="4"/>
  <c r="W129" i="4"/>
  <c r="W128" i="4"/>
  <c r="W127" i="4"/>
  <c r="W157" i="4"/>
  <c r="V155" i="4"/>
  <c r="W155" i="4"/>
  <c r="V154" i="4"/>
  <c r="W154" i="4"/>
  <c r="V153" i="4"/>
  <c r="W153" i="4"/>
  <c r="W151" i="4"/>
  <c r="W150" i="4"/>
  <c r="W149" i="4"/>
  <c r="W148" i="4"/>
  <c r="R134" i="4"/>
  <c r="S134" i="4"/>
  <c r="T134" i="4"/>
  <c r="R135" i="4"/>
  <c r="S135" i="4"/>
  <c r="T135" i="4"/>
  <c r="T136" i="4"/>
  <c r="S136" i="4"/>
  <c r="R136" i="4"/>
  <c r="W86" i="4"/>
  <c r="W87" i="4"/>
  <c r="W88" i="4"/>
  <c r="W89" i="4"/>
  <c r="W90" i="4"/>
  <c r="W91" i="4"/>
  <c r="W92" i="4"/>
  <c r="W94" i="4"/>
  <c r="W95" i="4"/>
  <c r="W96" i="4"/>
  <c r="W85" i="4"/>
  <c r="W76" i="4"/>
  <c r="W77" i="4"/>
  <c r="W78" i="4"/>
  <c r="W79" i="4"/>
  <c r="W80" i="4"/>
  <c r="W81" i="4"/>
  <c r="W82" i="4"/>
  <c r="W83" i="4"/>
  <c r="W75" i="4"/>
  <c r="R43" i="4"/>
  <c r="R44" i="4"/>
  <c r="R45" i="4"/>
  <c r="R46" i="4"/>
  <c r="R47" i="4"/>
  <c r="R48" i="4"/>
  <c r="R50" i="4"/>
  <c r="R10" i="4"/>
  <c r="R51" i="4"/>
  <c r="W22" i="4"/>
  <c r="W23" i="4"/>
  <c r="W24" i="4"/>
  <c r="W35" i="4"/>
  <c r="W33" i="4"/>
  <c r="W37" i="4"/>
  <c r="W29" i="4"/>
  <c r="W34" i="4"/>
  <c r="W41" i="4"/>
  <c r="W30" i="4"/>
  <c r="W32" i="4"/>
  <c r="W25" i="4"/>
  <c r="W38" i="4"/>
  <c r="W26" i="4"/>
  <c r="W27" i="4"/>
  <c r="W36" i="4"/>
  <c r="W39" i="4"/>
  <c r="W40" i="4"/>
  <c r="W21" i="4"/>
  <c r="W156" i="4"/>
  <c r="G17" i="19"/>
  <c r="S17" i="4"/>
  <c r="S16" i="4"/>
  <c r="S33" i="4"/>
  <c r="S25" i="4"/>
  <c r="S30" i="4"/>
  <c r="S40" i="4"/>
  <c r="S26" i="4"/>
  <c r="S28" i="4"/>
  <c r="S34" i="4"/>
  <c r="S27" i="4"/>
  <c r="S23" i="4"/>
  <c r="S35" i="4"/>
  <c r="S32" i="4"/>
  <c r="S37" i="4"/>
  <c r="S29" i="4"/>
  <c r="S22" i="4"/>
  <c r="S31" i="4"/>
  <c r="S38" i="4"/>
  <c r="S36" i="4"/>
  <c r="S41" i="4"/>
  <c r="S39" i="4"/>
  <c r="T39" i="4"/>
  <c r="D22" i="28"/>
  <c r="E22" i="28"/>
  <c r="F22" i="28"/>
  <c r="C22" i="28"/>
  <c r="D16" i="28"/>
  <c r="E16" i="28"/>
  <c r="F16" i="28"/>
  <c r="C16" i="28"/>
  <c r="D12" i="28"/>
  <c r="E12" i="28"/>
  <c r="F12" i="28"/>
  <c r="C12" i="28"/>
  <c r="I61" i="27"/>
  <c r="I62" i="27"/>
  <c r="I60" i="27"/>
  <c r="I59" i="27"/>
  <c r="G61" i="27"/>
  <c r="G62" i="27"/>
  <c r="G63" i="27"/>
  <c r="G64" i="27"/>
  <c r="G60" i="27"/>
  <c r="G59" i="27"/>
  <c r="G58" i="27"/>
  <c r="G57" i="27"/>
  <c r="E43" i="27"/>
  <c r="E42" i="27"/>
  <c r="E41" i="27"/>
  <c r="E40" i="27"/>
  <c r="F40" i="27"/>
  <c r="F41" i="27"/>
  <c r="F42" i="27"/>
  <c r="F43" i="27"/>
  <c r="F44" i="27"/>
  <c r="D44" i="27"/>
  <c r="G44" i="27"/>
  <c r="E44" i="27"/>
  <c r="G43" i="27"/>
  <c r="G42" i="27"/>
  <c r="G41" i="27"/>
  <c r="G40" i="27"/>
  <c r="F31" i="27"/>
  <c r="G31" i="27"/>
  <c r="F32" i="27"/>
  <c r="G32" i="27"/>
  <c r="F33" i="27"/>
  <c r="G33" i="27"/>
  <c r="F30" i="27"/>
  <c r="F34" i="27"/>
  <c r="D34" i="27"/>
  <c r="G34" i="27"/>
  <c r="G30" i="27"/>
  <c r="E34" i="27"/>
  <c r="H10" i="27"/>
  <c r="F14" i="27"/>
  <c r="E14" i="27"/>
  <c r="F15" i="27"/>
  <c r="F10" i="27"/>
  <c r="G10" i="27"/>
  <c r="D14" i="27"/>
  <c r="E15" i="27"/>
  <c r="E10" i="27"/>
  <c r="I10" i="27"/>
  <c r="J10" i="27"/>
  <c r="K10" i="27"/>
  <c r="L10" i="27"/>
  <c r="G22" i="27"/>
  <c r="K9" i="25"/>
  <c r="K4" i="25"/>
  <c r="J4" i="25"/>
  <c r="J9" i="25"/>
  <c r="W28" i="4"/>
  <c r="O39" i="24"/>
  <c r="AD236" i="4"/>
  <c r="AH236" i="4"/>
  <c r="AF236" i="4"/>
  <c r="AD235" i="4"/>
  <c r="AH235" i="4"/>
  <c r="AG235" i="4"/>
  <c r="AF235" i="4"/>
  <c r="AD234" i="4"/>
  <c r="AH234" i="4"/>
  <c r="AG234" i="4"/>
  <c r="AF234" i="4"/>
  <c r="AD233" i="4"/>
  <c r="AH233" i="4"/>
  <c r="AD232" i="4"/>
  <c r="AH232" i="4"/>
  <c r="AG232" i="4"/>
  <c r="AF232" i="4"/>
  <c r="BD215" i="4"/>
  <c r="BK215" i="4"/>
  <c r="BR215" i="4"/>
  <c r="BS215" i="4"/>
  <c r="BD214" i="4"/>
  <c r="BK214" i="4"/>
  <c r="BR214" i="4"/>
  <c r="BS214" i="4"/>
  <c r="BK213" i="4"/>
  <c r="BS213" i="4"/>
  <c r="BD207" i="4"/>
  <c r="BK207" i="4"/>
  <c r="BR207" i="4"/>
  <c r="BS207" i="4"/>
  <c r="BD206" i="4"/>
  <c r="BK206" i="4"/>
  <c r="BR206" i="4"/>
  <c r="BS206" i="4"/>
  <c r="BD200" i="4"/>
  <c r="BK200" i="4"/>
  <c r="BR200" i="4"/>
  <c r="BS200" i="4"/>
  <c r="BD199" i="4"/>
  <c r="BK199" i="4"/>
  <c r="BR199" i="4"/>
  <c r="BS199" i="4"/>
  <c r="BD158" i="4"/>
  <c r="BK158" i="4"/>
  <c r="BR158" i="4"/>
  <c r="BS158" i="4"/>
  <c r="BD157" i="4"/>
  <c r="BK157" i="4"/>
  <c r="BR157" i="4"/>
  <c r="BS157" i="4"/>
  <c r="BD115" i="4"/>
  <c r="BK115" i="4"/>
  <c r="BR115" i="4"/>
  <c r="BS115" i="4"/>
  <c r="BD88" i="4"/>
  <c r="BK88" i="4"/>
  <c r="BR88" i="4"/>
  <c r="BS88" i="4"/>
  <c r="BD108" i="4"/>
  <c r="BK108" i="4"/>
  <c r="BR108" i="4"/>
  <c r="BS108" i="4"/>
  <c r="BD107" i="4"/>
  <c r="BK107" i="4"/>
  <c r="BR107" i="4"/>
  <c r="BS107" i="4"/>
  <c r="BD106" i="4"/>
  <c r="BK106" i="4"/>
  <c r="BR106" i="4"/>
  <c r="BS106" i="4"/>
  <c r="BS99" i="4"/>
  <c r="BD98" i="4"/>
  <c r="BK98" i="4"/>
  <c r="BR98" i="4"/>
  <c r="BS98" i="4"/>
  <c r="BD77" i="4"/>
  <c r="BK77" i="4"/>
  <c r="BR77" i="4"/>
  <c r="BS77" i="4"/>
  <c r="BD92" i="4"/>
  <c r="BK92" i="4"/>
  <c r="BR92" i="4"/>
  <c r="BS92" i="4"/>
  <c r="BD87" i="4"/>
  <c r="BK87" i="4"/>
  <c r="BR87" i="4"/>
  <c r="BS87" i="4"/>
  <c r="BD83" i="4"/>
  <c r="BK83" i="4"/>
  <c r="BR83" i="4"/>
  <c r="BS83" i="4"/>
  <c r="BS96" i="4"/>
  <c r="BS90" i="4"/>
  <c r="BD82" i="4"/>
  <c r="BK82" i="4"/>
  <c r="BR82" i="4"/>
  <c r="BS82" i="4"/>
  <c r="AY86" i="4"/>
  <c r="AZ86" i="4"/>
  <c r="BA86" i="4"/>
  <c r="BD86" i="4"/>
  <c r="BK86" i="4"/>
  <c r="BR86" i="4"/>
  <c r="BS86" i="4"/>
  <c r="BK81" i="4"/>
  <c r="BR81" i="4"/>
  <c r="BS81" i="4"/>
  <c r="BD51" i="4"/>
  <c r="BK51" i="4"/>
  <c r="BR51" i="4"/>
  <c r="BS51" i="4"/>
  <c r="BD50" i="4"/>
  <c r="BK50" i="4"/>
  <c r="BR50" i="4"/>
  <c r="BS50" i="4"/>
  <c r="BD42" i="4"/>
  <c r="BK42" i="4"/>
  <c r="BR42" i="4"/>
  <c r="BS42" i="4"/>
  <c r="BD39" i="4"/>
  <c r="BK39" i="4"/>
  <c r="BR39" i="4"/>
  <c r="BS39" i="4"/>
  <c r="BD18" i="4"/>
  <c r="BK18" i="4"/>
  <c r="BR18" i="4"/>
  <c r="BS18" i="4"/>
  <c r="BD36" i="4"/>
  <c r="BK36" i="4"/>
  <c r="BR36" i="4"/>
  <c r="BS36" i="4"/>
  <c r="BD27" i="4"/>
  <c r="BK27" i="4"/>
  <c r="BR27" i="4"/>
  <c r="BS27" i="4"/>
  <c r="BD26" i="4"/>
  <c r="BK26" i="4"/>
  <c r="BR26" i="4"/>
  <c r="BS26" i="4"/>
  <c r="BD38" i="4"/>
  <c r="BK38" i="4"/>
  <c r="BR38" i="4"/>
  <c r="BS38" i="4"/>
  <c r="BK31" i="4"/>
  <c r="BK32" i="4"/>
  <c r="BD30" i="4"/>
  <c r="BK30" i="4"/>
  <c r="BR30" i="4"/>
  <c r="BS30" i="4"/>
  <c r="BD41" i="4"/>
  <c r="BK41" i="4"/>
  <c r="BR41" i="4"/>
  <c r="BS41" i="4"/>
  <c r="BD34" i="4"/>
  <c r="BK34" i="4"/>
  <c r="BR34" i="4"/>
  <c r="BS34" i="4"/>
  <c r="BD29" i="4"/>
  <c r="BK29" i="4"/>
  <c r="BR29" i="4"/>
  <c r="BS29" i="4"/>
  <c r="BD37" i="4"/>
  <c r="BK37" i="4"/>
  <c r="BR37" i="4"/>
  <c r="BS37" i="4"/>
  <c r="BD35" i="4"/>
  <c r="BK35" i="4"/>
  <c r="BR35" i="4"/>
  <c r="BS35" i="4"/>
  <c r="BD24" i="4"/>
  <c r="BK24" i="4"/>
  <c r="BR24" i="4"/>
  <c r="BS24" i="4"/>
  <c r="BD23" i="4"/>
  <c r="BK23" i="4"/>
  <c r="BR23" i="4"/>
  <c r="BS23" i="4"/>
  <c r="BD28" i="4"/>
  <c r="BK28" i="4"/>
  <c r="BR28" i="4"/>
  <c r="BS28" i="4"/>
  <c r="BD33" i="4"/>
  <c r="BK33" i="4"/>
  <c r="BR33" i="4"/>
  <c r="BS33" i="4"/>
  <c r="I225" i="26"/>
  <c r="G183" i="26"/>
  <c r="I183" i="26"/>
  <c r="G181" i="26"/>
  <c r="I181" i="26"/>
  <c r="G179" i="26"/>
  <c r="I179" i="26"/>
  <c r="I169" i="26"/>
  <c r="I170" i="26"/>
  <c r="I171" i="26"/>
  <c r="I172" i="26"/>
  <c r="M169" i="26"/>
  <c r="Q169" i="26"/>
  <c r="O169" i="26"/>
  <c r="M168" i="26"/>
  <c r="Q168" i="26"/>
  <c r="P168" i="26"/>
  <c r="O168" i="26"/>
  <c r="M167" i="26"/>
  <c r="Q167" i="26"/>
  <c r="P167" i="26"/>
  <c r="O167" i="26"/>
  <c r="I102" i="26"/>
  <c r="I72" i="26"/>
  <c r="I73" i="26"/>
  <c r="I95" i="26"/>
  <c r="I103" i="26"/>
  <c r="I116" i="26"/>
  <c r="I121" i="26"/>
  <c r="I123" i="26"/>
  <c r="I57" i="26"/>
  <c r="I20" i="26"/>
  <c r="I14" i="26"/>
  <c r="I49" i="26"/>
  <c r="I58" i="26"/>
  <c r="I165" i="26"/>
  <c r="I158" i="26"/>
  <c r="I167" i="26"/>
  <c r="M166" i="26"/>
  <c r="Q166" i="26"/>
  <c r="I166" i="26"/>
  <c r="M165" i="26"/>
  <c r="Q165" i="26"/>
  <c r="P165" i="26"/>
  <c r="O165" i="26"/>
  <c r="I97" i="26"/>
  <c r="I160" i="26"/>
  <c r="I163" i="26"/>
  <c r="I162" i="26"/>
  <c r="I48" i="26"/>
  <c r="I96" i="26"/>
  <c r="I122" i="26"/>
  <c r="I161" i="26"/>
  <c r="I151" i="26"/>
  <c r="I153" i="26"/>
  <c r="I152" i="26"/>
  <c r="AM148" i="26"/>
  <c r="AT148" i="26"/>
  <c r="BA148" i="26"/>
  <c r="BB148" i="26"/>
  <c r="AM147" i="26"/>
  <c r="AT147" i="26"/>
  <c r="BA147" i="26"/>
  <c r="BB147" i="26"/>
  <c r="AT146" i="26"/>
  <c r="BB146" i="26"/>
  <c r="AM140" i="26"/>
  <c r="AT140" i="26"/>
  <c r="BA140" i="26"/>
  <c r="BB140" i="26"/>
  <c r="AM139" i="26"/>
  <c r="AT139" i="26"/>
  <c r="BA139" i="26"/>
  <c r="BB139" i="26"/>
  <c r="AM133" i="26"/>
  <c r="AT133" i="26"/>
  <c r="BA133" i="26"/>
  <c r="BB133" i="26"/>
  <c r="AM132" i="26"/>
  <c r="AT132" i="26"/>
  <c r="BA132" i="26"/>
  <c r="BB132" i="26"/>
  <c r="AM131" i="26"/>
  <c r="AT131" i="26"/>
  <c r="BA131" i="26"/>
  <c r="BB131" i="26"/>
  <c r="AM130" i="26"/>
  <c r="AT130" i="26"/>
  <c r="BA130" i="26"/>
  <c r="BB130" i="26"/>
  <c r="BB129" i="26"/>
  <c r="AM93" i="26"/>
  <c r="AT93" i="26"/>
  <c r="BA93" i="26"/>
  <c r="BB93" i="26"/>
  <c r="AM90" i="26"/>
  <c r="AT90" i="26"/>
  <c r="BA90" i="26"/>
  <c r="BB90" i="26"/>
  <c r="AM89" i="26"/>
  <c r="AT89" i="26"/>
  <c r="BA89" i="26"/>
  <c r="BB89" i="26"/>
  <c r="AM88" i="26"/>
  <c r="AT88" i="26"/>
  <c r="BA88" i="26"/>
  <c r="BB88" i="26"/>
  <c r="AM87" i="26"/>
  <c r="AT87" i="26"/>
  <c r="BA87" i="26"/>
  <c r="BB87" i="26"/>
  <c r="BB86" i="26"/>
  <c r="AM85" i="26"/>
  <c r="AT85" i="26"/>
  <c r="BA85" i="26"/>
  <c r="BB85" i="26"/>
  <c r="AM84" i="26"/>
  <c r="AT84" i="26"/>
  <c r="BA84" i="26"/>
  <c r="BB84" i="26"/>
  <c r="AM82" i="26"/>
  <c r="AT82" i="26"/>
  <c r="BA82" i="26"/>
  <c r="BB82" i="26"/>
  <c r="AM81" i="26"/>
  <c r="AT81" i="26"/>
  <c r="BA81" i="26"/>
  <c r="BB81" i="26"/>
  <c r="AM79" i="26"/>
  <c r="AT79" i="26"/>
  <c r="BA79" i="26"/>
  <c r="BB79" i="26"/>
  <c r="BB78" i="26"/>
  <c r="BB77" i="26"/>
  <c r="AM76" i="26"/>
  <c r="AT76" i="26"/>
  <c r="BA76" i="26"/>
  <c r="BB76" i="26"/>
  <c r="AH75" i="26"/>
  <c r="AI75" i="26"/>
  <c r="AJ75" i="26"/>
  <c r="AM75" i="26"/>
  <c r="AT75" i="26"/>
  <c r="BA75" i="26"/>
  <c r="BB75" i="26"/>
  <c r="AT71" i="26"/>
  <c r="BA71" i="26"/>
  <c r="BB71" i="26"/>
  <c r="J47" i="26"/>
  <c r="I47" i="26"/>
  <c r="AM44" i="26"/>
  <c r="AT44" i="26"/>
  <c r="BA44" i="26"/>
  <c r="BB44" i="26"/>
  <c r="AM43" i="26"/>
  <c r="AT43" i="26"/>
  <c r="BA43" i="26"/>
  <c r="BB43" i="26"/>
  <c r="AM42" i="26"/>
  <c r="AT42" i="26"/>
  <c r="BA42" i="26"/>
  <c r="BB42" i="26"/>
  <c r="AM41" i="26"/>
  <c r="AT41" i="26"/>
  <c r="BA41" i="26"/>
  <c r="BB41" i="26"/>
  <c r="AM40" i="26"/>
  <c r="AT40" i="26"/>
  <c r="BA40" i="26"/>
  <c r="BB40" i="26"/>
  <c r="AM39" i="26"/>
  <c r="AT39" i="26"/>
  <c r="BA39" i="26"/>
  <c r="BB39" i="26"/>
  <c r="AM38" i="26"/>
  <c r="AT38" i="26"/>
  <c r="BA38" i="26"/>
  <c r="BB38" i="26"/>
  <c r="AM37" i="26"/>
  <c r="AT37" i="26"/>
  <c r="BA37" i="26"/>
  <c r="BB37" i="26"/>
  <c r="AM36" i="26"/>
  <c r="AT36" i="26"/>
  <c r="BA36" i="26"/>
  <c r="BB36" i="26"/>
  <c r="AM35" i="26"/>
  <c r="AT35" i="26"/>
  <c r="BA35" i="26"/>
  <c r="BB35" i="26"/>
  <c r="AT33" i="26"/>
  <c r="AT32" i="26"/>
  <c r="AM31" i="26"/>
  <c r="AT31" i="26"/>
  <c r="BA31" i="26"/>
  <c r="BB31" i="26"/>
  <c r="AM30" i="26"/>
  <c r="AT30" i="26"/>
  <c r="BA30" i="26"/>
  <c r="BB30" i="26"/>
  <c r="AM29" i="26"/>
  <c r="AT29" i="26"/>
  <c r="BA29" i="26"/>
  <c r="BB29" i="26"/>
  <c r="AM28" i="26"/>
  <c r="AT28" i="26"/>
  <c r="BA28" i="26"/>
  <c r="BB28" i="26"/>
  <c r="AM27" i="26"/>
  <c r="AT27" i="26"/>
  <c r="BA27" i="26"/>
  <c r="BB27" i="26"/>
  <c r="AM26" i="26"/>
  <c r="AT26" i="26"/>
  <c r="BA26" i="26"/>
  <c r="BB26" i="26"/>
  <c r="AM25" i="26"/>
  <c r="AT25" i="26"/>
  <c r="BA25" i="26"/>
  <c r="BB25" i="26"/>
  <c r="AM24" i="26"/>
  <c r="AT24" i="26"/>
  <c r="BA24" i="26"/>
  <c r="BB24" i="26"/>
  <c r="AM23" i="26"/>
  <c r="AT23" i="26"/>
  <c r="BA23" i="26"/>
  <c r="BB23" i="26"/>
  <c r="AM22" i="26"/>
  <c r="AT22" i="26"/>
  <c r="BA22" i="26"/>
  <c r="BB22" i="26"/>
  <c r="AM21" i="26"/>
  <c r="AT21" i="26"/>
  <c r="BA21" i="26"/>
  <c r="BB21" i="26"/>
  <c r="AM20" i="26"/>
  <c r="AT20" i="26"/>
  <c r="BA20" i="26"/>
  <c r="BB20" i="26"/>
  <c r="AM19" i="26"/>
  <c r="AT19" i="26"/>
  <c r="BA19" i="26"/>
  <c r="BB19" i="26"/>
  <c r="AM16" i="26"/>
  <c r="AT16" i="26"/>
  <c r="BA16" i="26"/>
  <c r="BB16" i="26"/>
  <c r="AM15" i="26"/>
  <c r="AT15" i="26"/>
  <c r="BA15" i="26"/>
  <c r="BB15" i="26"/>
  <c r="AM14" i="26"/>
  <c r="AT14" i="26"/>
  <c r="BA14" i="26"/>
  <c r="BB14" i="26"/>
  <c r="BA13" i="26"/>
  <c r="AT13" i="26"/>
  <c r="AM13" i="26"/>
  <c r="O238" i="4"/>
  <c r="O235" i="4"/>
  <c r="O236" i="4"/>
  <c r="O237" i="4"/>
  <c r="O239" i="4"/>
  <c r="O240" i="4"/>
  <c r="M63" i="24"/>
  <c r="P116" i="4"/>
  <c r="P210" i="4"/>
  <c r="Q210" i="4"/>
  <c r="R210" i="4"/>
  <c r="S59" i="4"/>
  <c r="T59" i="4"/>
  <c r="V210" i="4"/>
  <c r="O116" i="4"/>
  <c r="O210" i="4"/>
  <c r="P205" i="4"/>
  <c r="Q205" i="4"/>
  <c r="R205" i="4"/>
  <c r="S81" i="4"/>
  <c r="S75" i="4"/>
  <c r="S76" i="4"/>
  <c r="S90" i="4"/>
  <c r="S91" i="4"/>
  <c r="S82" i="4"/>
  <c r="S85" i="4"/>
  <c r="S86" i="4"/>
  <c r="S87" i="4"/>
  <c r="S92" i="4"/>
  <c r="S93" i="4"/>
  <c r="S83" i="4"/>
  <c r="S205" i="4"/>
  <c r="T82" i="4"/>
  <c r="T205" i="4"/>
  <c r="V205" i="4"/>
  <c r="O205" i="4"/>
  <c r="W144" i="4"/>
  <c r="C21" i="25"/>
  <c r="V206" i="4"/>
  <c r="Q206" i="4"/>
  <c r="P206" i="4"/>
  <c r="O206" i="4"/>
  <c r="M228" i="4"/>
  <c r="M224" i="4"/>
  <c r="M232" i="4"/>
  <c r="O228" i="4"/>
  <c r="O224" i="4"/>
  <c r="O232" i="4"/>
  <c r="Z8" i="22"/>
  <c r="AG8" i="22"/>
  <c r="AN8" i="22"/>
  <c r="AO8" i="22"/>
  <c r="I189" i="21"/>
  <c r="I94" i="21"/>
  <c r="I67" i="21"/>
  <c r="I68" i="21"/>
  <c r="I87" i="21"/>
  <c r="I108" i="21"/>
  <c r="I113" i="21"/>
  <c r="I52" i="21"/>
  <c r="I20" i="21"/>
  <c r="I42" i="21"/>
  <c r="G147" i="21"/>
  <c r="I147" i="21"/>
  <c r="G145" i="21"/>
  <c r="I145" i="21"/>
  <c r="G143" i="21"/>
  <c r="I143" i="21"/>
  <c r="I133" i="21"/>
  <c r="I134" i="21"/>
  <c r="I135" i="21"/>
  <c r="I136" i="21"/>
  <c r="M133" i="21"/>
  <c r="O133" i="21"/>
  <c r="Q133" i="21"/>
  <c r="M132" i="21"/>
  <c r="O132" i="21"/>
  <c r="P132" i="21"/>
  <c r="Q132" i="21"/>
  <c r="M131" i="21"/>
  <c r="O131" i="21"/>
  <c r="P131" i="21"/>
  <c r="Q131" i="21"/>
  <c r="I95" i="21"/>
  <c r="I115" i="21"/>
  <c r="I14" i="21"/>
  <c r="I44" i="21"/>
  <c r="I53" i="21"/>
  <c r="I129" i="21"/>
  <c r="I122" i="21"/>
  <c r="I131" i="21"/>
  <c r="M130" i="21"/>
  <c r="Q130" i="21"/>
  <c r="I130" i="21"/>
  <c r="M129" i="21"/>
  <c r="O129" i="21"/>
  <c r="P129" i="21"/>
  <c r="Q129" i="21"/>
  <c r="I89" i="21"/>
  <c r="I124" i="21"/>
  <c r="I127" i="21"/>
  <c r="I126" i="21"/>
  <c r="I43" i="21"/>
  <c r="I88" i="21"/>
  <c r="I114" i="21"/>
  <c r="I125" i="21"/>
  <c r="J42" i="21"/>
  <c r="G23" i="20"/>
  <c r="C30" i="16"/>
  <c r="B30" i="16"/>
  <c r="E30" i="16"/>
  <c r="D30" i="16"/>
  <c r="E29" i="16"/>
  <c r="D29" i="16"/>
  <c r="E28" i="16"/>
  <c r="D28" i="16"/>
  <c r="E27" i="16"/>
  <c r="D27" i="16"/>
  <c r="E26" i="16"/>
  <c r="D26" i="16"/>
  <c r="P214" i="4"/>
  <c r="P215" i="4"/>
  <c r="P216" i="4"/>
  <c r="P217" i="4"/>
  <c r="Q215" i="4"/>
  <c r="Q216" i="4"/>
  <c r="Q217" i="4"/>
  <c r="O214" i="4"/>
  <c r="O215" i="4"/>
  <c r="O216" i="4"/>
  <c r="O217" i="4"/>
  <c r="H5" i="16"/>
  <c r="N5" i="16"/>
  <c r="J5" i="16"/>
  <c r="M5" i="16"/>
  <c r="O5" i="16"/>
  <c r="H6" i="16"/>
  <c r="N6" i="16"/>
  <c r="J6" i="16"/>
  <c r="M6" i="16"/>
  <c r="O6" i="16"/>
  <c r="H7" i="16"/>
  <c r="N7" i="16"/>
  <c r="K7" i="16"/>
  <c r="M7" i="16"/>
  <c r="O7" i="16"/>
  <c r="H4" i="16"/>
  <c r="L4" i="16"/>
  <c r="M4" i="16"/>
  <c r="M8" i="16"/>
  <c r="O8" i="16"/>
  <c r="N4" i="16"/>
  <c r="N8" i="16"/>
  <c r="L8" i="16"/>
  <c r="K8" i="16"/>
  <c r="H8" i="16"/>
  <c r="J8" i="16"/>
  <c r="AC214" i="4"/>
  <c r="AB214" i="4"/>
  <c r="AC213" i="4"/>
  <c r="AB213" i="4"/>
  <c r="AC212" i="4"/>
  <c r="AB212" i="4"/>
  <c r="C22" i="17"/>
  <c r="K13" i="17"/>
  <c r="K22" i="17"/>
  <c r="G22" i="17"/>
  <c r="J10" i="17"/>
  <c r="J11" i="17"/>
  <c r="J12" i="17"/>
  <c r="J13" i="17"/>
  <c r="J15" i="17"/>
  <c r="J16" i="17"/>
  <c r="J18" i="17"/>
  <c r="J19" i="17"/>
  <c r="J20" i="17"/>
  <c r="J9" i="17"/>
  <c r="F11" i="17"/>
  <c r="F12" i="17"/>
  <c r="F13" i="17"/>
  <c r="F14" i="17"/>
  <c r="F15" i="17"/>
  <c r="F19" i="17"/>
  <c r="F10" i="17"/>
  <c r="F16" i="17"/>
  <c r="F17" i="17"/>
  <c r="F18" i="17"/>
  <c r="F20" i="17"/>
  <c r="F21" i="17"/>
  <c r="F9" i="17"/>
  <c r="G10" i="17"/>
  <c r="G19" i="17"/>
  <c r="P207" i="4"/>
  <c r="P208" i="4"/>
  <c r="P211" i="4"/>
  <c r="P212" i="4"/>
  <c r="G11" i="17"/>
  <c r="G21" i="17"/>
  <c r="G20" i="17"/>
  <c r="G18" i="17"/>
  <c r="G17" i="17"/>
  <c r="G16" i="17"/>
  <c r="G15" i="17"/>
  <c r="G14" i="17"/>
  <c r="G12" i="17"/>
  <c r="G9" i="17"/>
  <c r="T93" i="4"/>
  <c r="P66" i="4"/>
  <c r="X227" i="6"/>
  <c r="W226" i="6"/>
  <c r="V228" i="6"/>
  <c r="F39" i="8"/>
  <c r="A4" i="15"/>
  <c r="A5" i="15"/>
  <c r="A6" i="15"/>
  <c r="A7" i="15"/>
  <c r="A8" i="15"/>
  <c r="A9" i="15"/>
  <c r="A10" i="15"/>
  <c r="A11" i="15"/>
  <c r="A12" i="15"/>
  <c r="A13" i="15"/>
  <c r="A14" i="15"/>
  <c r="A15" i="15"/>
  <c r="A16" i="15"/>
  <c r="A17" i="15"/>
  <c r="A18" i="15"/>
  <c r="A19" i="15"/>
  <c r="A20" i="15"/>
  <c r="A21" i="15"/>
  <c r="A22" i="15"/>
  <c r="A23" i="15"/>
  <c r="A24" i="15"/>
  <c r="A25" i="15"/>
  <c r="A26" i="15"/>
  <c r="A27" i="15"/>
  <c r="A28" i="15"/>
  <c r="E5" i="16"/>
  <c r="E6" i="16"/>
  <c r="E7" i="16"/>
  <c r="C8" i="16"/>
  <c r="B8" i="16"/>
  <c r="E8" i="16"/>
  <c r="E4" i="16"/>
  <c r="H228" i="6"/>
  <c r="H220" i="6"/>
  <c r="E220" i="6"/>
  <c r="E221" i="6"/>
  <c r="E222" i="6"/>
  <c r="H223" i="6"/>
  <c r="E223" i="6"/>
  <c r="H224" i="6"/>
  <c r="E224" i="6"/>
  <c r="E225" i="6"/>
  <c r="E226" i="6"/>
  <c r="E227" i="6"/>
  <c r="E228" i="6"/>
  <c r="E229" i="6"/>
  <c r="E230" i="6"/>
  <c r="H219" i="6"/>
  <c r="E219" i="6"/>
  <c r="E218" i="6"/>
  <c r="D4" i="16"/>
  <c r="D5" i="16"/>
  <c r="D6" i="16"/>
  <c r="D7" i="16"/>
  <c r="D8" i="16"/>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E187" i="6"/>
  <c r="E188" i="6"/>
  <c r="E189" i="6"/>
  <c r="E190" i="6"/>
  <c r="E194" i="6"/>
  <c r="E196" i="6"/>
  <c r="E197" i="6"/>
  <c r="E198" i="6"/>
  <c r="E201" i="6"/>
  <c r="E203" i="6"/>
  <c r="E204" i="6"/>
  <c r="E205" i="6"/>
  <c r="E184" i="6"/>
  <c r="Q281" i="4"/>
  <c r="Q211" i="4"/>
  <c r="I141" i="6"/>
  <c r="I139" i="6"/>
  <c r="O211" i="4"/>
  <c r="H141" i="6"/>
  <c r="H139" i="6"/>
  <c r="Q208" i="4"/>
  <c r="K16" i="14"/>
  <c r="K26" i="14"/>
  <c r="L6" i="14"/>
  <c r="L7" i="14"/>
  <c r="L8" i="14"/>
  <c r="L9" i="14"/>
  <c r="L10" i="14"/>
  <c r="L11" i="14"/>
  <c r="L12" i="14"/>
  <c r="L13" i="14"/>
  <c r="L14" i="14"/>
  <c r="L15" i="14"/>
  <c r="L16" i="14"/>
  <c r="L18" i="14"/>
  <c r="L19" i="14"/>
  <c r="L20" i="14"/>
  <c r="L21" i="14"/>
  <c r="L22" i="14"/>
  <c r="K23" i="14"/>
  <c r="L23" i="14"/>
  <c r="L24" i="14"/>
  <c r="L26" i="14"/>
  <c r="L5" i="14"/>
  <c r="I16" i="14"/>
  <c r="I26" i="14"/>
  <c r="J6" i="14"/>
  <c r="J7" i="14"/>
  <c r="J8" i="14"/>
  <c r="J9" i="14"/>
  <c r="J10" i="14"/>
  <c r="J11" i="14"/>
  <c r="J12" i="14"/>
  <c r="J13" i="14"/>
  <c r="J14" i="14"/>
  <c r="J15" i="14"/>
  <c r="J16" i="14"/>
  <c r="J18" i="14"/>
  <c r="J19" i="14"/>
  <c r="J20" i="14"/>
  <c r="J21" i="14"/>
  <c r="J22" i="14"/>
  <c r="I23" i="14"/>
  <c r="J23" i="14"/>
  <c r="J24" i="14"/>
  <c r="J26" i="14"/>
  <c r="J5" i="14"/>
  <c r="G16" i="14"/>
  <c r="G26" i="14"/>
  <c r="H15" i="14"/>
  <c r="H7" i="14"/>
  <c r="H8" i="14"/>
  <c r="H12" i="14"/>
  <c r="H13" i="14"/>
  <c r="H14" i="14"/>
  <c r="H6" i="14"/>
  <c r="H5" i="14"/>
  <c r="H10" i="14"/>
  <c r="H9" i="14"/>
  <c r="H16" i="14"/>
  <c r="H22" i="14"/>
  <c r="H19" i="14"/>
  <c r="H21" i="14"/>
  <c r="H18" i="14"/>
  <c r="H20" i="14"/>
  <c r="G23" i="14"/>
  <c r="H23" i="14"/>
  <c r="H24" i="14"/>
  <c r="H26" i="14"/>
  <c r="H11" i="14"/>
  <c r="E16" i="14"/>
  <c r="E26" i="14"/>
  <c r="F15" i="14"/>
  <c r="F7" i="14"/>
  <c r="F8" i="14"/>
  <c r="F12" i="14"/>
  <c r="F13" i="14"/>
  <c r="F14" i="14"/>
  <c r="F6" i="14"/>
  <c r="F5" i="14"/>
  <c r="F10" i="14"/>
  <c r="F9" i="14"/>
  <c r="F16" i="14"/>
  <c r="F22" i="14"/>
  <c r="F19" i="14"/>
  <c r="F21" i="14"/>
  <c r="F18" i="14"/>
  <c r="F20" i="14"/>
  <c r="E23" i="14"/>
  <c r="F23" i="14"/>
  <c r="F24" i="14"/>
  <c r="F26" i="14"/>
  <c r="F11" i="14"/>
  <c r="C16" i="14"/>
  <c r="C26" i="14"/>
  <c r="D15" i="14"/>
  <c r="D7" i="14"/>
  <c r="D8" i="14"/>
  <c r="D12" i="14"/>
  <c r="D13" i="14"/>
  <c r="D14" i="14"/>
  <c r="D6" i="14"/>
  <c r="D5" i="14"/>
  <c r="D10" i="14"/>
  <c r="D9" i="14"/>
  <c r="D16" i="14"/>
  <c r="D22" i="14"/>
  <c r="D19" i="14"/>
  <c r="D21" i="14"/>
  <c r="D18" i="14"/>
  <c r="D20" i="14"/>
  <c r="C23" i="14"/>
  <c r="D23" i="14"/>
  <c r="D24" i="14"/>
  <c r="D11" i="14"/>
  <c r="D26" i="14"/>
  <c r="L55" i="13"/>
  <c r="Q228" i="4"/>
  <c r="T87" i="4"/>
  <c r="T92" i="4"/>
  <c r="T40" i="4"/>
  <c r="T28" i="4"/>
  <c r="T33" i="4"/>
  <c r="S129" i="4"/>
  <c r="T129" i="4"/>
  <c r="T94" i="4"/>
  <c r="T95" i="4"/>
  <c r="T78" i="4"/>
  <c r="T89" i="4"/>
  <c r="T75" i="4"/>
  <c r="T76" i="4"/>
  <c r="H92" i="6"/>
  <c r="G92" i="6"/>
  <c r="I98" i="6"/>
  <c r="H98" i="6"/>
  <c r="Q254" i="4"/>
  <c r="Q255" i="4"/>
  <c r="Q256" i="4"/>
  <c r="Q257" i="4"/>
  <c r="Q258" i="4"/>
  <c r="Q259" i="4"/>
  <c r="Q260" i="4"/>
  <c r="Q261" i="4"/>
  <c r="Q262" i="4"/>
  <c r="Q263" i="4"/>
  <c r="Q264" i="4"/>
  <c r="Q265" i="4"/>
  <c r="Q267" i="4"/>
  <c r="Q268" i="4"/>
  <c r="Q269" i="4"/>
  <c r="Q271" i="4"/>
  <c r="S271" i="4"/>
  <c r="Q272" i="4"/>
  <c r="O271" i="4"/>
  <c r="T38" i="4"/>
  <c r="AB211" i="4"/>
  <c r="AB210" i="4"/>
  <c r="AC210" i="4"/>
  <c r="M13" i="7"/>
  <c r="M14" i="7"/>
  <c r="M15" i="7"/>
  <c r="M16" i="7"/>
  <c r="M12" i="7"/>
  <c r="H43" i="6"/>
  <c r="G43" i="6"/>
  <c r="D14" i="7"/>
  <c r="D18" i="7"/>
  <c r="D21" i="7"/>
  <c r="E14" i="7"/>
  <c r="E18" i="7"/>
  <c r="E21" i="7"/>
  <c r="F8" i="7"/>
  <c r="F10" i="7"/>
  <c r="F12" i="7"/>
  <c r="F14" i="7"/>
  <c r="F16" i="7"/>
  <c r="F18" i="7"/>
  <c r="F20" i="7"/>
  <c r="F21" i="7"/>
  <c r="C14" i="7"/>
  <c r="C18" i="7"/>
  <c r="C21" i="7"/>
  <c r="H61" i="6"/>
  <c r="G61" i="6"/>
  <c r="G84" i="1"/>
  <c r="T25" i="4"/>
  <c r="Q212" i="4"/>
  <c r="G16" i="6"/>
  <c r="F16" i="6"/>
  <c r="V208" i="4"/>
  <c r="V207" i="4"/>
  <c r="Q207" i="4"/>
  <c r="O208" i="4"/>
  <c r="O207" i="4"/>
  <c r="M226" i="4"/>
  <c r="O226" i="4"/>
  <c r="T228" i="4"/>
  <c r="V228" i="4"/>
  <c r="T226" i="4"/>
  <c r="V226" i="4"/>
  <c r="T224" i="4"/>
  <c r="V224" i="4"/>
  <c r="Q226" i="4"/>
  <c r="Q224" i="4"/>
  <c r="O212" i="4"/>
  <c r="V212" i="4"/>
  <c r="V211" i="4"/>
  <c r="R121" i="4"/>
  <c r="W68" i="4"/>
  <c r="W121" i="4"/>
  <c r="N56" i="5"/>
  <c r="N53" i="5"/>
  <c r="A42" i="5"/>
  <c r="A44" i="5"/>
  <c r="B6" i="5"/>
  <c r="B7" i="5"/>
  <c r="B11" i="5"/>
  <c r="E57" i="5"/>
  <c r="G57" i="5"/>
  <c r="E58" i="5"/>
  <c r="G58" i="5"/>
  <c r="G59" i="5"/>
  <c r="B12" i="5"/>
  <c r="B15" i="5"/>
  <c r="B14" i="5"/>
  <c r="E5" i="5"/>
  <c r="S88" i="4"/>
  <c r="T17" i="4"/>
  <c r="T81" i="4"/>
  <c r="G39" i="1"/>
  <c r="T88" i="4"/>
  <c r="T16" i="4"/>
  <c r="T131" i="4"/>
  <c r="T130" i="4"/>
  <c r="T128" i="4"/>
  <c r="T127" i="4"/>
  <c r="T83" i="4"/>
  <c r="T91" i="4"/>
  <c r="T96" i="4"/>
  <c r="T90" i="4"/>
  <c r="T36" i="4"/>
  <c r="T26" i="4"/>
  <c r="T31" i="4"/>
  <c r="T32" i="4"/>
  <c r="T30" i="4"/>
  <c r="T22" i="4"/>
  <c r="T34" i="4"/>
  <c r="T29" i="4"/>
  <c r="T37" i="4"/>
  <c r="T35" i="4"/>
  <c r="T23" i="4"/>
  <c r="J72" i="1"/>
  <c r="J73" i="1"/>
  <c r="H72" i="1"/>
  <c r="H67" i="1"/>
  <c r="J55" i="1"/>
  <c r="G10" i="1"/>
  <c r="G11" i="1"/>
  <c r="G33" i="1"/>
  <c r="G35" i="1"/>
  <c r="G44" i="1"/>
  <c r="G53" i="1"/>
  <c r="G55" i="1"/>
  <c r="T27" i="4"/>
  <c r="T210" i="4"/>
  <c r="S210" i="4"/>
  <c r="T41" i="4"/>
  <c r="S77" i="4"/>
  <c r="T77" i="4"/>
  <c r="T85" i="4"/>
  <c r="T86" i="4"/>
  <c r="S79" i="4"/>
  <c r="T79" i="4"/>
</calcChain>
</file>

<file path=xl/comments1.xml><?xml version="1.0" encoding="utf-8"?>
<comments xmlns="http://schemas.openxmlformats.org/spreadsheetml/2006/main">
  <authors>
    <author>Sandra Alota</author>
  </authors>
  <commentList>
    <comment ref="AW23" authorId="0">
      <text>
        <r>
          <rPr>
            <b/>
            <sz val="9"/>
            <color indexed="81"/>
            <rFont val="Tahoma"/>
          </rPr>
          <t>Sandra Alota:</t>
        </r>
        <r>
          <rPr>
            <sz val="9"/>
            <color indexed="81"/>
            <rFont val="Tahoma"/>
          </rPr>
          <t xml:space="preserve">
page 57 8.150
The application has been accompanied with a playspace strategy which seeks to
utilise the playspace for doorstop and local playable space for ages 0-11 year
olds. Numerically, this equates to 1805sqm of child play space. This leaves a
shortfall of 195sqm, when measured against the LBTH yields. The applicants
approach is for the younger age groups to be provided on site and the older group
to be accommodated within the surrounding area. Given the quality of the design,
the minor shortfall in space along with the high quality of open space which could
be used for older children this is considered acceptable in this instance.</t>
        </r>
      </text>
    </comment>
    <comment ref="CE23" authorId="0">
      <text>
        <r>
          <rPr>
            <b/>
            <sz val="9"/>
            <color indexed="81"/>
            <rFont val="Tahoma"/>
          </rPr>
          <t>Sandra Alota:</t>
        </r>
        <r>
          <rPr>
            <sz val="9"/>
            <color indexed="81"/>
            <rFont val="Tahoma"/>
          </rPr>
          <t xml:space="preserve">
page 66 8.217 The site has a PTAL of 4and the proposal is for 888 dwellings, the maximum car
parking provision would therefore be 279 spaces based on the local plan
standards. The development proposes 141 spaces (14 of these being disabled).</t>
        </r>
      </text>
    </comment>
    <comment ref="CF23" authorId="0">
      <text>
        <r>
          <rPr>
            <b/>
            <sz val="9"/>
            <color indexed="81"/>
            <rFont val="Tahoma"/>
          </rPr>
          <t>Sandra Alota:</t>
        </r>
        <r>
          <rPr>
            <sz val="9"/>
            <color indexed="81"/>
            <rFont val="Tahoma"/>
          </rPr>
          <t xml:space="preserve">
page 66 8.219
Note: Total is incorrect in comparison with breakdown. 1334+22+66+52+14 = 1488 not 1448
A total of 1,448 cycle spaces are to be provided within the development. This
includes 1,334 Residential cycle parking is provided within the basement, 22
residential spaces for visitors, 66 spaces for retail uses, 52 for office uses and 14
for the crèche use.The cycle spaces for the residential uses are located at
thelower basement, and for staff. This is in accordance with relevant standards.</t>
        </r>
      </text>
    </comment>
    <comment ref="CG23" authorId="0">
      <text>
        <r>
          <rPr>
            <b/>
            <sz val="9"/>
            <color indexed="81"/>
            <rFont val="Tahoma"/>
          </rPr>
          <t>Sandra Alota:</t>
        </r>
        <r>
          <rPr>
            <sz val="9"/>
            <color indexed="81"/>
            <rFont val="Tahoma"/>
          </rPr>
          <t xml:space="preserve">
page 41 8.55
8.55. The proposed scheme at 68 storeys (220m AOD) is 25 metres lower than 1
Canada Square which is the tallest building within the Canary Wharf Cluster.</t>
        </r>
      </text>
    </comment>
    <comment ref="CI23" authorId="0">
      <text>
        <r>
          <rPr>
            <b/>
            <sz val="9"/>
            <color indexed="81"/>
            <rFont val="Tahoma"/>
          </rPr>
          <t>Sandra Alota:</t>
        </r>
        <r>
          <rPr>
            <sz val="9"/>
            <color indexed="81"/>
            <rFont val="Tahoma"/>
          </rPr>
          <t xml:space="preserve">
page 76 8.289</t>
        </r>
      </text>
    </comment>
    <comment ref="CJ23" authorId="0">
      <text>
        <r>
          <rPr>
            <b/>
            <sz val="9"/>
            <color indexed="81"/>
            <rFont val="Tahoma"/>
          </rPr>
          <t>Sandra Alota:</t>
        </r>
        <r>
          <rPr>
            <sz val="9"/>
            <color indexed="81"/>
            <rFont val="Tahoma"/>
          </rPr>
          <t xml:space="preserve">
page 77 8.295</t>
        </r>
      </text>
    </comment>
    <comment ref="AK25" authorId="0">
      <text>
        <r>
          <rPr>
            <b/>
            <sz val="9"/>
            <color indexed="81"/>
            <rFont val="Tahoma"/>
          </rPr>
          <t>Sandra Alota:</t>
        </r>
        <r>
          <rPr>
            <sz val="9"/>
            <color indexed="81"/>
            <rFont val="Tahoma"/>
          </rPr>
          <t xml:space="preserve">
page 38 9.87 The three sites are 307 Burdett Road, 83 Barchester Street and Lovegrove Walk (all E14
postcodes).</t>
        </r>
      </text>
    </comment>
    <comment ref="AM25"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BK25" authorId="0">
      <text>
        <r>
          <rPr>
            <b/>
            <sz val="9"/>
            <color indexed="81"/>
            <rFont val="Tahoma"/>
          </rPr>
          <t>Sandra Alota:</t>
        </r>
        <r>
          <rPr>
            <sz val="9"/>
            <color indexed="81"/>
            <rFont val="Tahoma"/>
          </rPr>
          <t xml:space="preserve">
no specific breakdown page 50 9.149 This site is within the East India and Lansbury Ward and is approximately 1.5km north east
of the application site. As discussed above, it is anticipated that this site can reasonably be
expected to accommodate up to 352 habitable rooms, subject to the submission of a
detailed planning application.</t>
        </r>
      </text>
    </comment>
    <comment ref="AH27" authorId="0">
      <text>
        <r>
          <rPr>
            <b/>
            <sz val="9"/>
            <color indexed="81"/>
            <rFont val="Tahoma"/>
          </rPr>
          <t>Sandra Alota:</t>
        </r>
        <r>
          <rPr>
            <sz val="9"/>
            <color indexed="81"/>
            <rFont val="Tahoma"/>
          </rPr>
          <t xml:space="preserve">
PA/09/01220 3/16/2010
Also: 12/15/2009 = not accepted</t>
        </r>
      </text>
    </comment>
    <comment ref="AM27" authorId="0">
      <text>
        <r>
          <rPr>
            <b/>
            <sz val="9"/>
            <color indexed="81"/>
            <rFont val="Tahoma"/>
          </rPr>
          <t>Sandra Alota:</t>
        </r>
        <r>
          <rPr>
            <sz val="9"/>
            <color indexed="81"/>
            <rFont val="Tahoma"/>
          </rPr>
          <t xml:space="preserve">
page 2
Ownership
• Mr Kamruz, BAK Investments Ltd;
• London Borough of Tower Hamlets (area of highway where taxi
and coach drop-off is proposed is LBTH controlled); and
• Smith &amp; Williamson, Trust Corporation.</t>
        </r>
      </text>
    </comment>
    <comment ref="BZ27" authorId="0">
      <text>
        <r>
          <rPr>
            <b/>
            <sz val="9"/>
            <color indexed="81"/>
            <rFont val="Tahoma"/>
          </rPr>
          <t>Sandra Alota:</t>
        </r>
        <r>
          <rPr>
            <sz val="9"/>
            <color indexed="81"/>
            <rFont val="Tahoma"/>
          </rPr>
          <t xml:space="preserve">
page 6 4.2
8 service offices</t>
        </r>
      </text>
    </comment>
    <comment ref="CA27" authorId="0">
      <text>
        <r>
          <rPr>
            <b/>
            <sz val="9"/>
            <color indexed="81"/>
            <rFont val="Tahoma"/>
          </rPr>
          <t>Sandra Alota:</t>
        </r>
        <r>
          <rPr>
            <sz val="9"/>
            <color indexed="81"/>
            <rFont val="Tahoma"/>
          </rPr>
          <t xml:space="preserve">
page 6 4.2 conference facilities</t>
        </r>
      </text>
    </comment>
    <comment ref="CC27" authorId="0">
      <text>
        <r>
          <rPr>
            <b/>
            <sz val="9"/>
            <color indexed="81"/>
            <rFont val="Tahoma"/>
          </rPr>
          <t>Sandra Alota:</t>
        </r>
        <r>
          <rPr>
            <sz val="9"/>
            <color indexed="81"/>
            <rFont val="Tahoma"/>
          </rPr>
          <t xml:space="preserve">
page 6 4.2 Swimming pool, gym and spa</t>
        </r>
      </text>
    </comment>
    <comment ref="CE27" authorId="0">
      <text>
        <r>
          <rPr>
            <b/>
            <sz val="9"/>
            <color indexed="81"/>
            <rFont val="Tahoma"/>
          </rPr>
          <t>Sandra Alota:</t>
        </r>
        <r>
          <rPr>
            <sz val="9"/>
            <color indexed="81"/>
            <rFont val="Tahoma"/>
          </rPr>
          <t xml:space="preserve">
page 27 8.90
car free development (only one disabled space is provided)</t>
        </r>
      </text>
    </comment>
    <comment ref="BS28" authorId="0">
      <text>
        <r>
          <rPr>
            <b/>
            <sz val="9"/>
            <color indexed="81"/>
            <rFont val="Tahoma"/>
          </rPr>
          <t>Sandra Alota:</t>
        </r>
        <r>
          <rPr>
            <sz val="9"/>
            <color indexed="81"/>
            <rFont val="Tahoma"/>
          </rPr>
          <t xml:space="preserve">
6/13/2013 pdf
page 40 9.98</t>
        </r>
      </text>
    </comment>
    <comment ref="CE28" authorId="0">
      <text>
        <r>
          <rPr>
            <b/>
            <sz val="9"/>
            <color indexed="81"/>
            <rFont val="Tahoma"/>
          </rPr>
          <t>Sandra Alota:</t>
        </r>
        <r>
          <rPr>
            <sz val="9"/>
            <color indexed="81"/>
            <rFont val="Tahoma"/>
          </rPr>
          <t xml:space="preserve">
6/13/2013
page 52 9.178</t>
        </r>
      </text>
    </comment>
    <comment ref="CF28" authorId="0">
      <text>
        <r>
          <rPr>
            <b/>
            <sz val="9"/>
            <color indexed="81"/>
            <rFont val="Tahoma"/>
          </rPr>
          <t>Sandra Alota:</t>
        </r>
        <r>
          <rPr>
            <sz val="9"/>
            <color indexed="81"/>
            <rFont val="Tahoma"/>
          </rPr>
          <t xml:space="preserve">
6/13/2013
page 13 7.17</t>
        </r>
      </text>
    </comment>
    <comment ref="CI28" authorId="0">
      <text>
        <r>
          <rPr>
            <b/>
            <sz val="9"/>
            <color indexed="81"/>
            <rFont val="Tahoma"/>
          </rPr>
          <t>Sandra Alota:</t>
        </r>
        <r>
          <rPr>
            <sz val="9"/>
            <color indexed="81"/>
            <rFont val="Tahoma"/>
          </rPr>
          <t xml:space="preserve">
6/13/2013
page 4 3.2</t>
        </r>
      </text>
    </comment>
    <comment ref="CJ28" authorId="0">
      <text>
        <r>
          <rPr>
            <b/>
            <sz val="9"/>
            <color indexed="81"/>
            <rFont val="Tahoma"/>
          </rPr>
          <t>Sandra Alota:</t>
        </r>
        <r>
          <rPr>
            <sz val="9"/>
            <color indexed="81"/>
            <rFont val="Tahoma"/>
          </rPr>
          <t xml:space="preserve">
6/13/2013
page 53 9.183</t>
        </r>
      </text>
    </comment>
    <comment ref="AT29" authorId="0">
      <text>
        <r>
          <rPr>
            <b/>
            <sz val="9"/>
            <color indexed="81"/>
            <rFont val="Tahoma"/>
          </rPr>
          <t>Sandra Alota:</t>
        </r>
        <r>
          <rPr>
            <sz val="9"/>
            <color indexed="81"/>
            <rFont val="Tahoma"/>
          </rPr>
          <t xml:space="preserve">
page 53 13.66 under 5 years</t>
        </r>
      </text>
    </comment>
    <comment ref="AU29" authorId="0">
      <text>
        <r>
          <rPr>
            <b/>
            <sz val="9"/>
            <color indexed="81"/>
            <rFont val="Tahoma"/>
          </rPr>
          <t>Sandra Alota:</t>
        </r>
        <r>
          <rPr>
            <sz val="9"/>
            <color indexed="81"/>
            <rFont val="Tahoma"/>
          </rPr>
          <t xml:space="preserve">
page 53 13.66 5-11 years old</t>
        </r>
      </text>
    </comment>
    <comment ref="AV29" authorId="0">
      <text>
        <r>
          <rPr>
            <b/>
            <sz val="9"/>
            <color indexed="81"/>
            <rFont val="Tahoma"/>
          </rPr>
          <t>Sandra Alota:</t>
        </r>
        <r>
          <rPr>
            <sz val="9"/>
            <color indexed="81"/>
            <rFont val="Tahoma"/>
          </rPr>
          <t xml:space="preserve">
page 53 13.66 12-18 years old</t>
        </r>
      </text>
    </comment>
    <comment ref="AW29" authorId="0">
      <text>
        <r>
          <rPr>
            <b/>
            <sz val="9"/>
            <color indexed="81"/>
            <rFont val="Tahoma"/>
          </rPr>
          <t>Sandra Alota:</t>
        </r>
        <r>
          <rPr>
            <sz val="9"/>
            <color indexed="81"/>
            <rFont val="Tahoma"/>
          </rPr>
          <t xml:space="preserve">
please check page 53 13.67 The applicant has sought to provide a balance of publicly accessible
space, communal amenity space and play space. The result is that
the proposals would make on-site provision to meet all of the play
space requirements for 0-5 year olds and 50% of space required for 5-
11 year olds, but that no on-site play space for 12-18 year olds. The shortfalls in on-site provision for 5 to 18 year
olds is considered acceptable subject to securing financial
contributions towards enhancing play facilities in nearby open spaces.</t>
        </r>
      </text>
    </comment>
    <comment ref="CF29" authorId="0">
      <text>
        <r>
          <rPr>
            <b/>
            <sz val="9"/>
            <color indexed="81"/>
            <rFont val="Tahoma"/>
          </rPr>
          <t>Sandra Alota:</t>
        </r>
        <r>
          <rPr>
            <sz val="9"/>
            <color indexed="81"/>
            <rFont val="Tahoma"/>
          </rPr>
          <t xml:space="preserve">
short of 9 spaces for 817 requirement. Please see page 85 17.28 </t>
        </r>
      </text>
    </comment>
    <comment ref="CI29" authorId="0">
      <text>
        <r>
          <rPr>
            <b/>
            <sz val="9"/>
            <color indexed="81"/>
            <rFont val="Tahoma"/>
          </rPr>
          <t>Sandra Alota:</t>
        </r>
        <r>
          <rPr>
            <sz val="9"/>
            <color indexed="81"/>
            <rFont val="Tahoma"/>
          </rPr>
          <t xml:space="preserve">
page 5</t>
        </r>
      </text>
    </comment>
    <comment ref="AK31" authorId="0">
      <text>
        <r>
          <rPr>
            <b/>
            <sz val="9"/>
            <color indexed="81"/>
            <rFont val="Tahoma"/>
          </rPr>
          <t>Sandra Alota:</t>
        </r>
        <r>
          <rPr>
            <sz val="9"/>
            <color indexed="81"/>
            <rFont val="Tahoma"/>
          </rPr>
          <t xml:space="preserve">
page 38 9.87 The three sites are 307 Burdett Road, 83 Barchester Street and Lovegrove Walk (all E14
postcodes).</t>
        </r>
      </text>
    </comment>
    <comment ref="AM31"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BK31" authorId="0">
      <text>
        <r>
          <rPr>
            <b/>
            <sz val="9"/>
            <color indexed="81"/>
            <rFont val="Tahoma"/>
          </rPr>
          <t>Sandra Alota:</t>
        </r>
        <r>
          <rPr>
            <sz val="9"/>
            <color indexed="81"/>
            <rFont val="Tahoma"/>
          </rPr>
          <t xml:space="preserve">
page 18 7.61 The offsite 100% affordable housing site at Burdett Road is providing 76% family sized units
against our policy target of 45% family units overall on one site. There are 5 x 1 beds, 5 x 2
beds, 30 x 3 beds and 2 x 4 beds, 42 units in total. This development will also deliver one 3 bed
and one 1 bed wheelchair accessible units which is welcomed and the Lettings Team have
confirmed that there is a need for these units in this location. Please also see page 43 9.120 &amp; page 53 9.168 - Incorrect computation of combined mix it should be 62 not 52 family units</t>
        </r>
      </text>
    </comment>
    <comment ref="AK32" authorId="0">
      <text>
        <r>
          <rPr>
            <b/>
            <sz val="9"/>
            <color indexed="81"/>
            <rFont val="Tahoma"/>
          </rPr>
          <t>Sandra Alota:</t>
        </r>
        <r>
          <rPr>
            <sz val="9"/>
            <color indexed="81"/>
            <rFont val="Tahoma"/>
          </rPr>
          <t xml:space="preserve">
page 38 9.87 The three sites are 307 Burdett Road, 83 Barchester Street and Lovegrove Walk (all E14
postcodes).</t>
        </r>
      </text>
    </comment>
    <comment ref="AM32"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BK32" authorId="0">
      <text>
        <r>
          <rPr>
            <b/>
            <sz val="9"/>
            <color indexed="81"/>
            <rFont val="Tahoma"/>
          </rPr>
          <t>Sandra Alota:</t>
        </r>
        <r>
          <rPr>
            <sz val="9"/>
            <color indexed="81"/>
            <rFont val="Tahoma"/>
          </rPr>
          <t xml:space="preserve">
page 41 9.114 Lovegrove Walk: 115 habitable rooms / 20 units in a mix of 6 x 3 bed, 13 x 4 bed and 1 x
5 bed. These units would be available for a minimum period of five years as they form part
of the Wood Wharf redevelopment proposals. &amp; page 42 9.117 These houses will have conversion works to allow the garages to be used as habitable
rooms to create four bedroom units, others will remain as three bed units. There are also a
number of flats within Lovegrove Walk which will be given over to affordable housing,
these are a mix of 1 x 5 bed, 6 x 4 beds and 6 x 3 beds. Please also see page 51 9.156 &amp; page 53 9.168 - Incorrect computation of combined mix it should be 62 not 52 family units</t>
        </r>
      </text>
    </comment>
    <comment ref="AW34" authorId="0">
      <text>
        <r>
          <rPr>
            <b/>
            <sz val="9"/>
            <color indexed="81"/>
            <rFont val="Tahoma"/>
          </rPr>
          <t>Sandra Alota:</t>
        </r>
        <r>
          <rPr>
            <sz val="9"/>
            <color indexed="81"/>
            <rFont val="Tahoma"/>
          </rPr>
          <t xml:space="preserve">
no specific details 
page 23 8.61
page 24 8.65 The revised ES advises that the child yield for the development would be 168 children.
Applying the GLA SPG guidelines of 10sqm of play space per child, a total of 1680qm
would be required on site. 
page 24 8.66 The scheme is proposing a total area of 1850sqm for informal and formal child play space.</t>
        </r>
      </text>
    </comment>
    <comment ref="CF34" authorId="0">
      <text>
        <r>
          <rPr>
            <b/>
            <sz val="9"/>
            <color indexed="81"/>
            <rFont val="Tahoma"/>
          </rPr>
          <t>Sandra Alota:</t>
        </r>
        <r>
          <rPr>
            <sz val="9"/>
            <color indexed="81"/>
            <rFont val="Tahoma"/>
          </rPr>
          <t xml:space="preserve">
page 5 3.3 no.6 Parking – maximum of 150 cars (including 15 disabled spaces) and a minimum of 546
residential and 32 non-residential bicycle parking spaces.
Page 30 8.123</t>
        </r>
      </text>
    </comment>
    <comment ref="CG34" authorId="0">
      <text>
        <r>
          <rPr>
            <b/>
            <sz val="9"/>
            <color indexed="81"/>
            <rFont val="Tahoma"/>
          </rPr>
          <t>Sandra Alota:</t>
        </r>
        <r>
          <rPr>
            <sz val="9"/>
            <color indexed="81"/>
            <rFont val="Tahoma"/>
          </rPr>
          <t xml:space="preserve">
Discrepancy in the highest storeys = 32 storeys as per page 1 but 31 storeys as per page 20 8.42</t>
        </r>
      </text>
    </comment>
    <comment ref="CH34" authorId="0">
      <text>
        <r>
          <rPr>
            <b/>
            <sz val="9"/>
            <color indexed="81"/>
            <rFont val="Tahoma"/>
          </rPr>
          <t>Sandra Alota:</t>
        </r>
        <r>
          <rPr>
            <sz val="9"/>
            <color indexed="81"/>
            <rFont val="Tahoma"/>
          </rPr>
          <t xml:space="preserve">
page 20 8.42 The highest part of the scheme is located at
the northern end of the site and drops across the site to the south, ranging from 31 to 12
storeys with a maximum height of 99.5m AOD. </t>
        </r>
      </text>
    </comment>
    <comment ref="CI34" authorId="0">
      <text>
        <r>
          <rPr>
            <b/>
            <sz val="9"/>
            <color indexed="81"/>
            <rFont val="Tahoma"/>
          </rPr>
          <t>Sandra Alota:</t>
        </r>
        <r>
          <rPr>
            <sz val="9"/>
            <color indexed="81"/>
            <rFont val="Tahoma"/>
          </rPr>
          <t xml:space="preserve">
Total not indicated
page 5 3.1</t>
        </r>
      </text>
    </comment>
    <comment ref="AQ35" authorId="0">
      <text>
        <r>
          <rPr>
            <b/>
            <sz val="9"/>
            <color indexed="81"/>
            <rFont val="Tahoma"/>
          </rPr>
          <t>Sandra Alota:</t>
        </r>
        <r>
          <rPr>
            <sz val="9"/>
            <color indexed="81"/>
            <rFont val="Tahoma"/>
          </rPr>
          <t xml:space="preserve">
March 12 updated report page 2 1.4 &amp; 1.6
1.4 The PTAL rating of the application site, when generated from the tool found on TfL
website generates a PTAL rating of 3. However, this tool does not include the existing
South Dock footbridge as a walking route to the Canary Wharf Jubilee Line Station.
1.6 However, officers from the Councils Transportation and Highways Team and Transport
for London have confirmed in writing that the footbridge should be taken into account
and as such, the PTAL rating should be increased to level 4, as considered within the
committee report.</t>
        </r>
      </text>
    </comment>
    <comment ref="BK35" authorId="0">
      <text>
        <r>
          <rPr>
            <b/>
            <sz val="9"/>
            <color indexed="81"/>
            <rFont val="Tahoma"/>
          </rPr>
          <t>Sandra Alota:</t>
        </r>
        <r>
          <rPr>
            <sz val="9"/>
            <color indexed="81"/>
            <rFont val="Tahoma"/>
          </rPr>
          <t xml:space="preserve">
April 23, 2015 report
page 6 3.5 &amp; 3.7 Total for affordable housing is 176 but when you add the breakdown of 74+35+61 = 170 only</t>
        </r>
      </text>
    </comment>
    <comment ref="BS35" authorId="0">
      <text>
        <r>
          <rPr>
            <b/>
            <sz val="9"/>
            <color indexed="81"/>
            <rFont val="Tahoma"/>
          </rPr>
          <t>Sandra Alota:</t>
        </r>
        <r>
          <rPr>
            <sz val="9"/>
            <color indexed="81"/>
            <rFont val="Tahoma"/>
          </rPr>
          <t xml:space="preserve">
April 23, 2015 report
page 6 3.5 &amp; 3.7 Total for all units should only be 895 but the report shows 901</t>
        </r>
      </text>
    </comment>
    <comment ref="CE35" authorId="0">
      <text>
        <r>
          <rPr>
            <b/>
            <sz val="9"/>
            <color indexed="81"/>
            <rFont val="Tahoma"/>
          </rPr>
          <t>Sandra Alota:</t>
        </r>
        <r>
          <rPr>
            <sz val="9"/>
            <color indexed="81"/>
            <rFont val="Tahoma"/>
          </rPr>
          <t xml:space="preserve">
March 12, 2014 pdf report
page 71 8.222
The site has a PTAL of 4 and the proposal is for 901 dwellings, the
maximum car parking provision would therefore be 289 spaces based on
the local plan standards. The development proposes 147 spaces including
31 disabled parking. The disabled parking represents 21% of the total
parking.</t>
        </r>
      </text>
    </comment>
    <comment ref="CF35" authorId="0">
      <text>
        <r>
          <rPr>
            <b/>
            <sz val="9"/>
            <color indexed="81"/>
            <rFont val="Tahoma"/>
          </rPr>
          <t>Sandra Alota:</t>
        </r>
        <r>
          <rPr>
            <sz val="9"/>
            <color indexed="81"/>
            <rFont val="Tahoma"/>
          </rPr>
          <t xml:space="preserve">
March 12, 2014 pdf report
page 72 8.225
A minimum of cycle spaces are to be provided within the development. This
includes 1,087 Residential cycle parking is provided within the basement, 25
residential spaces for visitors.</t>
        </r>
      </text>
    </comment>
    <comment ref="CG35" authorId="0">
      <text>
        <r>
          <rPr>
            <b/>
            <sz val="9"/>
            <color indexed="81"/>
            <rFont val="Tahoma"/>
          </rPr>
          <t>Sandra Alota:</t>
        </r>
        <r>
          <rPr>
            <sz val="9"/>
            <color indexed="81"/>
            <rFont val="Tahoma"/>
          </rPr>
          <t xml:space="preserve">
March 12, 2014 pdf report
page 43 8.43 Block D is proposed to be the tallest building on site measuring up to
148.4m AOD and consisting of 297 private residential units. The ground
and first floor are to provide the residential entrance and ancillary residential
floor space.</t>
        </r>
      </text>
    </comment>
    <comment ref="CH35" authorId="0">
      <text>
        <r>
          <rPr>
            <b/>
            <sz val="9"/>
            <color indexed="81"/>
            <rFont val="Tahoma"/>
          </rPr>
          <t>Sandra Alota:</t>
        </r>
        <r>
          <rPr>
            <sz val="9"/>
            <color indexed="81"/>
            <rFont val="Tahoma"/>
          </rPr>
          <t xml:space="preserve">
42 storeys not specifically indicated for the tallest building but taken from the start of April 23, 2015 report page 1 Proposal Full planning permission for the erection of seven mixeduse
buildings—A, B1, B2, B3, C, D and E (a ‘link’ building
situated between block B1 and D)—ranging in height from
8 to 42 storeys.</t>
        </r>
      </text>
    </comment>
    <comment ref="AR36" authorId="0">
      <text>
        <r>
          <rPr>
            <b/>
            <sz val="9"/>
            <color indexed="81"/>
            <rFont val="Tahoma"/>
          </rPr>
          <t>Sandra Alota:</t>
        </r>
        <r>
          <rPr>
            <sz val="9"/>
            <color indexed="81"/>
            <rFont val="Tahoma"/>
          </rPr>
          <t xml:space="preserve">
GLA yield-Not available</t>
        </r>
      </text>
    </comment>
    <comment ref="AT36" authorId="0">
      <text>
        <r>
          <rPr>
            <b/>
            <sz val="9"/>
            <color indexed="81"/>
            <rFont val="Tahoma"/>
          </rPr>
          <t>Sandra Alota:</t>
        </r>
        <r>
          <rPr>
            <sz val="9"/>
            <color indexed="81"/>
            <rFont val="Tahoma"/>
          </rPr>
          <t xml:space="preserve">
0-4 years</t>
        </r>
      </text>
    </comment>
    <comment ref="AU36" authorId="0">
      <text>
        <r>
          <rPr>
            <b/>
            <sz val="9"/>
            <color indexed="81"/>
            <rFont val="Tahoma"/>
          </rPr>
          <t>Sandra Alota:</t>
        </r>
        <r>
          <rPr>
            <sz val="9"/>
            <color indexed="81"/>
            <rFont val="Tahoma"/>
          </rPr>
          <t xml:space="preserve">
5-11 years</t>
        </r>
      </text>
    </comment>
    <comment ref="AV36" authorId="0">
      <text>
        <r>
          <rPr>
            <b/>
            <sz val="9"/>
            <color indexed="81"/>
            <rFont val="Tahoma"/>
          </rPr>
          <t>Sandra Alota:</t>
        </r>
        <r>
          <rPr>
            <sz val="9"/>
            <color indexed="81"/>
            <rFont val="Tahoma"/>
          </rPr>
          <t xml:space="preserve">
Over 12 years</t>
        </r>
      </text>
    </comment>
    <comment ref="AW36" authorId="0">
      <text>
        <r>
          <rPr>
            <b/>
            <sz val="9"/>
            <color indexed="81"/>
            <rFont val="Tahoma"/>
          </rPr>
          <t>Sandra Alota:</t>
        </r>
        <r>
          <rPr>
            <sz val="9"/>
            <color indexed="81"/>
            <rFont val="Tahoma"/>
          </rPr>
          <t xml:space="preserve">
p.81 15.32 The development therefore proposes 1472sqm of play space for 0-4 and 5-
11 year olds (including the school playground and internal play space) and a
financial contribution can be secured for the over 12 year olds play space.</t>
        </r>
      </text>
    </comment>
    <comment ref="CE36" authorId="0">
      <text>
        <r>
          <rPr>
            <b/>
            <sz val="9"/>
            <color indexed="81"/>
            <rFont val="Tahoma"/>
          </rPr>
          <t>Sandra Alota:</t>
        </r>
        <r>
          <rPr>
            <sz val="9"/>
            <color indexed="81"/>
            <rFont val="Tahoma"/>
          </rPr>
          <t xml:space="preserve">
page 94 18.6 The latest revision includes the creation of 92 car parking spaces within the
basements of the development. The western tower would provide 9 spaces.
The eastern tower would provide 83 car parking spaces.
Page 95 18.9 The proposed eastern building comprising of three basement levels would
be served by only one lift and vehicle access point. The requirement for a
single lift and access point to serve 83 car parking spaces would have a
severe impact on the servicing
arrangements of the building. The
resulting level of usage of the lift and
its requirement to travel further now
across four floors also would increase
waiting times and unacceptably lead to
vehicles queuing on the public highway
page 95 18.12 The previous iteration of the proposal
provided 15 accessible spaces only which was considered acceptable by
LBTH Highways and TfL. However, no justification or rationale was
submitted to the LPA explaining the increase of the on-site car parking
provision from the original 27 to 92 spaces and no assessment has been
made regarding the resulting impact on the local highway network with
regards additional trip generation.
page 95 18.13 It is therefore considered that there is insufficient information to confirm
whether the development proposals and associated trip generation can be
accommodated on the surrounding highway network.</t>
        </r>
      </text>
    </comment>
    <comment ref="CG36" authorId="0">
      <text>
        <r>
          <rPr>
            <b/>
            <sz val="9"/>
            <color indexed="81"/>
            <rFont val="Tahoma"/>
          </rPr>
          <t>Sandra Alota:</t>
        </r>
        <r>
          <rPr>
            <sz val="9"/>
            <color indexed="81"/>
            <rFont val="Tahoma"/>
          </rPr>
          <t xml:space="preserve">
page 6 4.1
page 25 6.63</t>
        </r>
      </text>
    </comment>
    <comment ref="CH36" authorId="0">
      <text>
        <r>
          <rPr>
            <b/>
            <sz val="9"/>
            <color indexed="81"/>
            <rFont val="Tahoma"/>
          </rPr>
          <t>Sandra Alota:</t>
        </r>
        <r>
          <rPr>
            <sz val="9"/>
            <color indexed="81"/>
            <rFont val="Tahoma"/>
          </rPr>
          <t xml:space="preserve">
page 6 4.1
page 25 6.63</t>
        </r>
      </text>
    </comment>
    <comment ref="CJ36" authorId="0">
      <text>
        <r>
          <rPr>
            <b/>
            <sz val="9"/>
            <color indexed="81"/>
            <rFont val="Tahoma"/>
          </rPr>
          <t>Sandra Alota:</t>
        </r>
        <r>
          <rPr>
            <sz val="9"/>
            <color indexed="81"/>
            <rFont val="Tahoma"/>
          </rPr>
          <t xml:space="preserve">
page 107 19.68
As regards Community Infrastructure Levy considerations, Members are
reminded that that the London mayoral CIL became operational from 1 April
2012 and would be payable on this scheme if it were approved. The
approximate CIL contribution is estimated to be around £2,385,576.88,</t>
        </r>
      </text>
    </comment>
    <comment ref="AI37" authorId="0">
      <text>
        <r>
          <rPr>
            <b/>
            <sz val="9"/>
            <color indexed="81"/>
            <rFont val="Tahoma"/>
          </rPr>
          <t>Sandra Alota:</t>
        </r>
        <r>
          <rPr>
            <sz val="9"/>
            <color indexed="81"/>
            <rFont val="Tahoma"/>
          </rPr>
          <t xml:space="preserve">
Consultation started: 09 Sep 2015
Consultation ended: 30 Sep 2015
</t>
        </r>
      </text>
    </comment>
    <comment ref="AL37" authorId="0">
      <text>
        <r>
          <rPr>
            <b/>
            <sz val="9"/>
            <color indexed="81"/>
            <rFont val="Tahoma"/>
          </rPr>
          <t>Sandra Alota:</t>
        </r>
        <r>
          <rPr>
            <sz val="9"/>
            <color indexed="81"/>
            <rFont val="Tahoma"/>
          </rPr>
          <t xml:space="preserve">
Agent: DP9
100 Pall Mall London SW1Y 5NQ</t>
        </r>
      </text>
    </comment>
    <comment ref="BD37" authorId="0">
      <text>
        <r>
          <rPr>
            <b/>
            <sz val="9"/>
            <color indexed="81"/>
            <rFont val="Tahoma"/>
          </rPr>
          <t>Sandra Alota:</t>
        </r>
        <r>
          <rPr>
            <sz val="9"/>
            <color indexed="81"/>
            <rFont val="Tahoma"/>
          </rPr>
          <t xml:space="preserve">
17. Residential Units - Application Form-1087264.pdf
Flats and maisonettes</t>
        </r>
      </text>
    </comment>
    <comment ref="BK37" authorId="0">
      <text>
        <r>
          <rPr>
            <b/>
            <sz val="9"/>
            <color indexed="81"/>
            <rFont val="Tahoma"/>
          </rPr>
          <t>Sandra Alota:</t>
        </r>
        <r>
          <rPr>
            <sz val="9"/>
            <color indexed="81"/>
            <rFont val="Tahoma"/>
          </rPr>
          <t xml:space="preserve">
17. Residential Units - Application Form-1087264.pdf
Flats and maisonettes</t>
        </r>
      </text>
    </comment>
    <comment ref="BR37" authorId="0">
      <text>
        <r>
          <rPr>
            <b/>
            <sz val="9"/>
            <color indexed="81"/>
            <rFont val="Tahoma"/>
          </rPr>
          <t>Sandra Alota:</t>
        </r>
        <r>
          <rPr>
            <sz val="9"/>
            <color indexed="81"/>
            <rFont val="Tahoma"/>
          </rPr>
          <t xml:space="preserve">
17. Residential Units - Application Form-1087264.pdf
Flats and maisonettes</t>
        </r>
      </text>
    </comment>
    <comment ref="BU37" authorId="0">
      <text>
        <r>
          <rPr>
            <b/>
            <sz val="9"/>
            <color indexed="81"/>
            <rFont val="Tahoma"/>
          </rPr>
          <t>Sandra Alota:</t>
        </r>
        <r>
          <rPr>
            <sz val="9"/>
            <color indexed="81"/>
            <rFont val="Tahoma"/>
          </rPr>
          <t xml:space="preserve">
Report-1087296.pdf Secondary School - approximately 9,867 sqm (1200 pupils)</t>
        </r>
      </text>
    </comment>
    <comment ref="BV37" authorId="0">
      <text>
        <r>
          <rPr>
            <b/>
            <sz val="9"/>
            <color indexed="81"/>
            <rFont val="Tahoma"/>
          </rPr>
          <t>Sandra Alota:</t>
        </r>
        <r>
          <rPr>
            <sz val="9"/>
            <color indexed="81"/>
            <rFont val="Tahoma"/>
          </rPr>
          <t xml:space="preserve">
Report-1087296.pdf 
Restaurants and drinking establishments</t>
        </r>
      </text>
    </comment>
    <comment ref="BW37" authorId="0">
      <text>
        <r>
          <rPr>
            <b/>
            <sz val="9"/>
            <color indexed="81"/>
            <rFont val="Tahoma"/>
          </rPr>
          <t>Sandra Alota:</t>
        </r>
        <r>
          <rPr>
            <sz val="9"/>
            <color indexed="81"/>
            <rFont val="Tahoma"/>
          </rPr>
          <t xml:space="preserve">
Report-1087296.pdf 
Offices and financial and professional services</t>
        </r>
      </text>
    </comment>
    <comment ref="BY37" authorId="0">
      <text>
        <r>
          <rPr>
            <b/>
            <sz val="9"/>
            <color indexed="81"/>
            <rFont val="Tahoma"/>
          </rPr>
          <t>Sandra Alota:</t>
        </r>
        <r>
          <rPr>
            <sz val="9"/>
            <color indexed="81"/>
            <rFont val="Tahoma"/>
          </rPr>
          <t xml:space="preserve">
Report-1087296.pdf 
Retail</t>
        </r>
      </text>
    </comment>
    <comment ref="CA37" authorId="0">
      <text>
        <r>
          <rPr>
            <b/>
            <sz val="9"/>
            <color indexed="81"/>
            <rFont val="Tahoma"/>
          </rPr>
          <t>Sandra Alota:</t>
        </r>
        <r>
          <rPr>
            <sz val="9"/>
            <color indexed="81"/>
            <rFont val="Tahoma"/>
          </rPr>
          <t xml:space="preserve">
Report-1087296.pdf 
Community Uses (inc. Creche &amp; Healthcare)</t>
        </r>
      </text>
    </comment>
    <comment ref="CE37" authorId="0">
      <text>
        <r>
          <rPr>
            <b/>
            <sz val="9"/>
            <color indexed="81"/>
            <rFont val="Tahoma"/>
          </rPr>
          <t>Sandra Alota:</t>
        </r>
        <r>
          <rPr>
            <sz val="9"/>
            <color indexed="81"/>
            <rFont val="Tahoma"/>
          </rPr>
          <t xml:space="preserve">
Total existing 192
Total proposed (including spaces retained) 
cars 328
Disability space 76
cycle spaces 1420</t>
        </r>
      </text>
    </comment>
    <comment ref="AH38" authorId="0">
      <text>
        <r>
          <rPr>
            <b/>
            <sz val="9"/>
            <color indexed="81"/>
            <rFont val="Tahoma"/>
          </rPr>
          <t>Sandra Alota:</t>
        </r>
        <r>
          <rPr>
            <sz val="9"/>
            <color indexed="81"/>
            <rFont val="Tahoma"/>
          </rPr>
          <t xml:space="preserve">
there is a stage 1 letter and report on  6/25/2014 as per 8/18/2014 letter to George Kyriacou</t>
        </r>
      </text>
    </comment>
    <comment ref="CE38" authorId="0">
      <text>
        <r>
          <rPr>
            <b/>
            <sz val="9"/>
            <color indexed="81"/>
            <rFont val="Tahoma"/>
          </rPr>
          <t>Sandra Alota:</t>
        </r>
        <r>
          <rPr>
            <sz val="9"/>
            <color indexed="81"/>
            <rFont val="Tahoma"/>
          </rPr>
          <t xml:space="preserve">
page 71 16.6</t>
        </r>
      </text>
    </comment>
    <comment ref="CF38" authorId="0">
      <text>
        <r>
          <rPr>
            <b/>
            <sz val="9"/>
            <color indexed="81"/>
            <rFont val="Tahoma"/>
          </rPr>
          <t>Sandra Alota:</t>
        </r>
        <r>
          <rPr>
            <sz val="9"/>
            <color indexed="81"/>
            <rFont val="Tahoma"/>
          </rPr>
          <t xml:space="preserve">
page 71 16.8 &amp; 16.9
page 71 16.8 Residential cycle parking is provided on the first and second floor and
meets the minimum standards set out in the Local Plan. It is
proposed that these will be a mixture of Sheffield standards (55) with
the remaining cycle parking (542) provided by double stackers. The
proportion of cycle parking provided in double stackers is
disappointing as they can be harder to use and consequently deter
cycle use.
page 71 16.9 13 residential visitor cycle parking spaces and 3 parking spaces for
the commercial uses are provided by way of Sheffield stands. This is
in accordance with relevant standards. The applicant has proposed
two locations for this parking and were the application to be approved
the final location could be controlled by way of condition.</t>
        </r>
      </text>
    </comment>
    <comment ref="CI38" authorId="0">
      <text>
        <r>
          <rPr>
            <b/>
            <sz val="9"/>
            <color indexed="81"/>
            <rFont val="Tahoma"/>
          </rPr>
          <t>Sandra Alota:</t>
        </r>
        <r>
          <rPr>
            <sz val="9"/>
            <color indexed="81"/>
            <rFont val="Tahoma"/>
          </rPr>
          <t xml:space="preserve">
8/25/2014 pdf report page 82 25.13</t>
        </r>
      </text>
    </comment>
    <comment ref="CJ38" authorId="0">
      <text>
        <r>
          <rPr>
            <b/>
            <sz val="9"/>
            <color indexed="81"/>
            <rFont val="Tahoma"/>
          </rPr>
          <t>Sandra Alota:</t>
        </r>
        <r>
          <rPr>
            <sz val="9"/>
            <color indexed="81"/>
            <rFont val="Tahoma"/>
          </rPr>
          <t xml:space="preserve">
8/25/2014 pdf report page 83 26.6</t>
        </r>
      </text>
    </comment>
    <comment ref="AE52" authorId="0">
      <text>
        <r>
          <rPr>
            <b/>
            <sz val="9"/>
            <color indexed="81"/>
            <rFont val="Tahoma"/>
          </rPr>
          <t>Sandra Alota:</t>
        </r>
        <r>
          <rPr>
            <sz val="9"/>
            <color indexed="81"/>
            <rFont val="Tahoma"/>
          </rPr>
          <t xml:space="preserve">
connected or same with Island point? 
Please see page 3 3.1
a To provide a minimum of 41.5% of the residential accommodation across
both the City Pride, 15 Westferry Road and Island Point (443-451 Westferry
Road) sites as affordable housing measured by habitable rooms with a
tenure split of 71% social rented and 29% intermediate housing.</t>
        </r>
      </text>
    </comment>
    <comment ref="AH52" authorId="0">
      <text>
        <r>
          <rPr>
            <b/>
            <sz val="9"/>
            <color indexed="81"/>
            <rFont val="Tahoma"/>
          </rPr>
          <t>Sandra Alota:</t>
        </r>
        <r>
          <rPr>
            <sz val="9"/>
            <color indexed="81"/>
            <rFont val="Tahoma"/>
          </rPr>
          <t xml:space="preserve">
page 9 5.1
This application was originally considered by the Strategic Development
Committee at its meeting on 19th February 2009.</t>
        </r>
      </text>
    </comment>
    <comment ref="AP77" authorId="0">
      <text>
        <r>
          <rPr>
            <b/>
            <sz val="9"/>
            <color indexed="81"/>
            <rFont val="Tahoma"/>
          </rPr>
          <t>Sandra Alota:</t>
        </r>
        <r>
          <rPr>
            <sz val="9"/>
            <color indexed="81"/>
            <rFont val="Tahoma"/>
          </rPr>
          <t xml:space="preserve">
page 26 8.14</t>
        </r>
      </text>
    </comment>
    <comment ref="AW77" authorId="0">
      <text>
        <r>
          <rPr>
            <b/>
            <sz val="9"/>
            <color indexed="81"/>
            <rFont val="Tahoma"/>
          </rPr>
          <t>Sandra Alota:</t>
        </r>
        <r>
          <rPr>
            <sz val="9"/>
            <color indexed="81"/>
            <rFont val="Tahoma"/>
          </rPr>
          <t xml:space="preserve">
page 39 8.118
In association with the London Plan Policy 3.6: Children and Young People’s Play and
Informal Recreation Strategies, it has been calculated that the scheme should provide a total
of 2,396sqm. The total amount of play space provided by the proposed development
equates to 5,179sqm.</t>
        </r>
      </text>
    </comment>
    <comment ref="CE77" authorId="0">
      <text>
        <r>
          <rPr>
            <b/>
            <sz val="9"/>
            <color indexed="81"/>
            <rFont val="Tahoma"/>
          </rPr>
          <t>Sandra Alota:</t>
        </r>
        <r>
          <rPr>
            <sz val="9"/>
            <color indexed="81"/>
            <rFont val="Tahoma"/>
          </rPr>
          <t xml:space="preserve">
page 28 8.28
As the scheme is providing the opportunity for all existing residents to return, and as there
are currently 189 parking permits issued to existing residents, the new scheme will provide
189 parking on-site car parking spaces plus 2 car club spaces.</t>
        </r>
      </text>
    </comment>
    <comment ref="CF77" authorId="0">
      <text>
        <r>
          <rPr>
            <b/>
            <sz val="9"/>
            <color indexed="81"/>
            <rFont val="Tahoma"/>
          </rPr>
          <t>Sandra Alota:</t>
        </r>
        <r>
          <rPr>
            <sz val="9"/>
            <color indexed="81"/>
            <rFont val="Tahoma"/>
          </rPr>
          <t xml:space="preserve">
page 29 8.34
498 resident spaces are proposed and 9 visitor spaces. 
Page 29 8.35 The application seeks to provide 18 motorbike parking spaces.</t>
        </r>
      </text>
    </comment>
    <comment ref="CI77" authorId="0">
      <text>
        <r>
          <rPr>
            <b/>
            <sz val="9"/>
            <color indexed="81"/>
            <rFont val="Tahoma"/>
          </rPr>
          <t>Sandra Alota:</t>
        </r>
        <r>
          <rPr>
            <sz val="9"/>
            <color indexed="81"/>
            <rFont val="Tahoma"/>
          </rPr>
          <t xml:space="preserve">
page 51 8.221
</t>
        </r>
      </text>
    </comment>
    <comment ref="CJ77" authorId="0">
      <text>
        <r>
          <rPr>
            <b/>
            <sz val="9"/>
            <color indexed="81"/>
            <rFont val="Tahoma"/>
          </rPr>
          <t>Sandra Alota:</t>
        </r>
        <r>
          <rPr>
            <sz val="9"/>
            <color indexed="81"/>
            <rFont val="Tahoma"/>
          </rPr>
          <t xml:space="preserve">
page 54 8.232
The likely CIL
payment associated with this development would be in the region of £627,270.</t>
        </r>
      </text>
    </comment>
    <comment ref="AN81" authorId="0">
      <text>
        <r>
          <rPr>
            <b/>
            <sz val="9"/>
            <color indexed="81"/>
            <rFont val="Tahoma"/>
          </rPr>
          <t>Sandra Alota:</t>
        </r>
        <r>
          <rPr>
            <sz val="9"/>
            <color indexed="81"/>
            <rFont val="Tahoma"/>
          </rPr>
          <t xml:space="preserve">
page 11 4.1</t>
        </r>
      </text>
    </comment>
    <comment ref="AO81" authorId="0">
      <text>
        <r>
          <rPr>
            <b/>
            <sz val="9"/>
            <color indexed="81"/>
            <rFont val="Tahoma"/>
          </rPr>
          <t>Sandra Alota:</t>
        </r>
        <r>
          <rPr>
            <sz val="9"/>
            <color indexed="81"/>
            <rFont val="Tahoma"/>
          </rPr>
          <t xml:space="preserve">
page 62 12.36</t>
        </r>
      </text>
    </comment>
    <comment ref="AP81" authorId="0">
      <text>
        <r>
          <rPr>
            <b/>
            <sz val="9"/>
            <color indexed="81"/>
            <rFont val="Tahoma"/>
          </rPr>
          <t>Sandra Alota:</t>
        </r>
        <r>
          <rPr>
            <sz val="9"/>
            <color indexed="81"/>
            <rFont val="Tahoma"/>
          </rPr>
          <t xml:space="preserve">
page 62 12.36</t>
        </r>
      </text>
    </comment>
    <comment ref="AW81" authorId="0">
      <text>
        <r>
          <rPr>
            <b/>
            <sz val="9"/>
            <color indexed="81"/>
            <rFont val="Tahoma"/>
          </rPr>
          <t>Sandra Alota:</t>
        </r>
        <r>
          <rPr>
            <sz val="9"/>
            <color indexed="81"/>
            <rFont val="Tahoma"/>
          </rPr>
          <t xml:space="preserve">
no specific breakdown page 101 14.7 The
Indicative is predicted to contain 715 children (0-15 years of age), accordingly
7150sqm of child play space would be required. There is sufficient space within the
development to meet this requirement and, if necessary, higher levels of child play
space having regard to the flexibility within the Development Specification.</t>
        </r>
      </text>
    </comment>
    <comment ref="BD81" authorId="0">
      <text>
        <r>
          <rPr>
            <b/>
            <sz val="9"/>
            <color indexed="81"/>
            <rFont val="Tahoma"/>
          </rPr>
          <t>Sandra Alota:</t>
        </r>
        <r>
          <rPr>
            <sz val="9"/>
            <color indexed="81"/>
            <rFont val="Tahoma"/>
          </rPr>
          <t xml:space="preserve">
no specific breakdown please see page 28 4.55 The applicant advises that that the Indicative Scheme represents their
favoured approach to development on the site at the current time. It would, inter alia,
provide 3,104 homes (604 of which would be affordable), circa 240,000sqm (GIA) of
office floorspace and circa 31,500sqm (GIA) of retail uses and provide circa
29.500sqm of publicly accessible open space along with a primary school, Idea
Store, Health facility and Leisure centre.</t>
        </r>
      </text>
    </comment>
    <comment ref="BK81" authorId="0">
      <text>
        <r>
          <rPr>
            <b/>
            <sz val="9"/>
            <color indexed="81"/>
            <rFont val="Tahoma"/>
          </rPr>
          <t>Sandra Alota:</t>
        </r>
        <r>
          <rPr>
            <sz val="9"/>
            <color indexed="81"/>
            <rFont val="Tahoma"/>
          </rPr>
          <t xml:space="preserve">
no specific breakdown
page 4 2.5 The development would provide 25% affordable housing by habitable room on site,
80% of which would be affordable rent and 20% intermediate. Applying these
percentages to the indicative scheme would result in 2,053 habitable rooms (604
affordable homes). 1637 habitable rooms (444 homes) of which would be affordable
rent and 416 habitable rooms (160 homes) would be intermediate housing. please also see page 6 3.4. Only percentage is indicated in page 28 4.54 &amp; page 66 13.15 &amp; page 161 27.12</t>
        </r>
      </text>
    </comment>
    <comment ref="BR81" authorId="0">
      <text>
        <r>
          <rPr>
            <b/>
            <sz val="9"/>
            <color indexed="81"/>
            <rFont val="Tahoma"/>
          </rPr>
          <t>Sandra Alota:</t>
        </r>
        <r>
          <rPr>
            <sz val="9"/>
            <color indexed="81"/>
            <rFont val="Tahoma"/>
          </rPr>
          <t xml:space="preserve">
no specific breakdown
page 4 2.5 The development would provide 25% affordable housing by habitable room on site,
80% of which would be affordable rent and 20% intermediate. Applying these
percentages to the indicative scheme would result in 2,053 habitable rooms (604
affordable homes). 1637 habitable rooms (444 homes) of which would be affordable
rent and 416 habitable rooms (160 homes) would be intermediate housing. please also see page 6 3.4. Only percentage is indicated in page 28 4.54 &amp; page 66 13.15 &amp; page 161 27.12</t>
        </r>
      </text>
    </comment>
    <comment ref="BS81" authorId="0">
      <text>
        <r>
          <rPr>
            <b/>
            <sz val="9"/>
            <color indexed="81"/>
            <rFont val="Tahoma"/>
          </rPr>
          <t>Sandra Alota:</t>
        </r>
        <r>
          <rPr>
            <sz val="9"/>
            <color indexed="81"/>
            <rFont val="Tahoma"/>
          </rPr>
          <t xml:space="preserve">
no specific breakdown please see page 28 4.55 The applicant advises that that the Indicative Scheme represents their
favoured approach to development on the site at the current time. It would, inter alia,
provide 3,104 homes (604 of which would be affordable), circa 240,000sqm (GIA) of
office floorspace and circa 31,500sqm (GIA) of retail uses and provide circa
29.500sqm of publicly accessible open space along with a primary school, Idea
Store, Health facility and Leisure centre.</t>
        </r>
      </text>
    </comment>
    <comment ref="BT81" authorId="0">
      <text>
        <r>
          <rPr>
            <b/>
            <sz val="9"/>
            <color indexed="81"/>
            <rFont val="Tahoma"/>
          </rPr>
          <t>Sandra Alota:</t>
        </r>
        <r>
          <rPr>
            <sz val="9"/>
            <color indexed="81"/>
            <rFont val="Tahoma"/>
          </rPr>
          <t xml:space="preserve">
page 59 12.12
The scheme proposes up to 350 hotel beds.</t>
        </r>
      </text>
    </comment>
    <comment ref="CE81" authorId="0">
      <text>
        <r>
          <rPr>
            <b/>
            <sz val="9"/>
            <color indexed="81"/>
            <rFont val="Tahoma"/>
          </rPr>
          <t>Sandra Alota:</t>
        </r>
        <r>
          <rPr>
            <sz val="9"/>
            <color indexed="81"/>
            <rFont val="Tahoma"/>
          </rPr>
          <t xml:space="preserve">
page 28-29 4.53
page 147 18.19</t>
        </r>
      </text>
    </comment>
    <comment ref="CF81" authorId="0">
      <text>
        <r>
          <rPr>
            <b/>
            <sz val="9"/>
            <color indexed="81"/>
            <rFont val="Tahoma"/>
          </rPr>
          <t>Sandra Alota:</t>
        </r>
        <r>
          <rPr>
            <sz val="9"/>
            <color indexed="81"/>
            <rFont val="Tahoma"/>
          </rPr>
          <t xml:space="preserve">
page 28-29 4.53
page 148 18.25</t>
        </r>
      </text>
    </comment>
    <comment ref="CG81" authorId="0">
      <text>
        <r>
          <rPr>
            <b/>
            <sz val="9"/>
            <color indexed="81"/>
            <rFont val="Tahoma"/>
          </rPr>
          <t>Sandra Alota:</t>
        </r>
        <r>
          <rPr>
            <sz val="9"/>
            <color indexed="81"/>
            <rFont val="Tahoma"/>
          </rPr>
          <t xml:space="preserve">
page 24 4.50
</t>
        </r>
      </text>
    </comment>
    <comment ref="CH81" authorId="0">
      <text>
        <r>
          <rPr>
            <b/>
            <sz val="9"/>
            <color indexed="81"/>
            <rFont val="Tahoma"/>
          </rPr>
          <t>Sandra Alota:</t>
        </r>
        <r>
          <rPr>
            <sz val="9"/>
            <color indexed="81"/>
            <rFont val="Tahoma"/>
          </rPr>
          <t xml:space="preserve">
page 33 7.9</t>
        </r>
      </text>
    </comment>
    <comment ref="AP82" authorId="0">
      <text>
        <r>
          <rPr>
            <b/>
            <sz val="9"/>
            <color indexed="81"/>
            <rFont val="Tahoma"/>
          </rPr>
          <t>Sandra Alota:</t>
        </r>
        <r>
          <rPr>
            <sz val="9"/>
            <color indexed="81"/>
            <rFont val="Tahoma"/>
          </rPr>
          <t xml:space="preserve">
page 48 8.26</t>
        </r>
      </text>
    </comment>
    <comment ref="AT82" authorId="0">
      <text>
        <r>
          <rPr>
            <b/>
            <sz val="9"/>
            <color indexed="81"/>
            <rFont val="Tahoma"/>
          </rPr>
          <t>Sandra Alota:</t>
        </r>
        <r>
          <rPr>
            <sz val="9"/>
            <color indexed="81"/>
            <rFont val="Tahoma"/>
          </rPr>
          <t xml:space="preserve">
page 69 8.175
This proportional
approach to the child yield results in the need for 1489sqm of playspace for children aged 0
– 4, and 1413sqm of playspace for children aged 5 – 10. The scheme delivers 1420sqm of
playspace for children aged 0 – 4 and 1240sqm of playspace for children aged 5 – 11.
Combined, this delivers 2,660sqm of playspace onsite for children aged 0 – 11, thus meeting
the policy for children aged under 11.</t>
        </r>
      </text>
    </comment>
    <comment ref="AU82" authorId="0">
      <text>
        <r>
          <rPr>
            <b/>
            <sz val="9"/>
            <color indexed="81"/>
            <rFont val="Tahoma"/>
          </rPr>
          <t>Sandra Alota:</t>
        </r>
        <r>
          <rPr>
            <sz val="9"/>
            <color indexed="81"/>
            <rFont val="Tahoma"/>
          </rPr>
          <t xml:space="preserve">
This proportional
approach to the child yield results in the need for 1489sqm of playspace for children aged 0
– 4, and 1413sqm of playspace for children aged 5 – 10. The scheme delivers 1420sqm of
playspace for children aged 0 – 4 and 1240sqm of playspace for children aged 5 – 11.
Combined, this delivers 2,660sqm of playspace onsite for children aged 0 – 11, thus meeting
the policy for children aged under 11.</t>
        </r>
      </text>
    </comment>
    <comment ref="AV82" authorId="0">
      <text>
        <r>
          <rPr>
            <b/>
            <sz val="9"/>
            <color indexed="81"/>
            <rFont val="Tahoma"/>
          </rPr>
          <t>Sandra Alota:</t>
        </r>
        <r>
          <rPr>
            <sz val="9"/>
            <color indexed="81"/>
            <rFont val="Tahoma"/>
          </rPr>
          <t xml:space="preserve">
page 70 8.176
Nevertheless, there is an obvious shortfall in provision for children aged 12 and over, where
the scheme should provide 917sqm. The Mayor’s SPG identifies maximum walking
distances to play areas for different age groups, this being 400m for those aged 5 to 11, and
800m for 12 and over.</t>
        </r>
      </text>
    </comment>
    <comment ref="AW82" authorId="0">
      <text>
        <r>
          <rPr>
            <b/>
            <sz val="9"/>
            <color indexed="81"/>
            <rFont val="Tahoma"/>
          </rPr>
          <t>Sandra Alota:</t>
        </r>
        <r>
          <rPr>
            <sz val="9"/>
            <color indexed="81"/>
            <rFont val="Tahoma"/>
          </rPr>
          <t xml:space="preserve">
No breakdown provided
page 69 8.173
The submitted
public realm strategy details that the development proposes to deliver 2660sq.m of play
space, resulting in a shortfall of 1150sqm
page 69 8.174
The child yield for the detailed scheme is expected to be 53.7 children, thus the detailed
element of the proposal should provide a minimum of 537sqm of child play space. The
detailed proposed includes 575sqm of child playspace within a communal amenity area at
podium level, thus compliant with policy.
page 69 8.175
The proposed approach to play overall is to deliver facilities for children aged 0 – 11 on site.
The GLA’s ‘Providing for children and young people’s play and informal recreation’ SPG
(2008) sets out targets for proportions of playspace by age group. This proportional
approach to the child yield results in the need for 1489sqm of playspace for children aged 0
– 4, and 1413sqm of playspace for children aged 5 – 10. The scheme delivers 1420sqm of
playspace for children aged 0 – 4 and 1240sqm of playspace for children aged 5 – 11.
Combined, this delivers 2,660sqm of playspace onsite for children aged 0 – 11, thus meeting
the policy for children aged under 11.</t>
        </r>
      </text>
    </comment>
    <comment ref="CE82" authorId="0">
      <text>
        <r>
          <rPr>
            <b/>
            <sz val="9"/>
            <color indexed="81"/>
            <rFont val="Tahoma"/>
          </rPr>
          <t>Sandra Alota:</t>
        </r>
        <r>
          <rPr>
            <sz val="9"/>
            <color indexed="81"/>
            <rFont val="Tahoma"/>
          </rPr>
          <t xml:space="preserve">
page 49 8.42</t>
        </r>
      </text>
    </comment>
    <comment ref="CF82" authorId="0">
      <text>
        <r>
          <rPr>
            <b/>
            <sz val="9"/>
            <color indexed="81"/>
            <rFont val="Tahoma"/>
          </rPr>
          <t>Sandra Alota:</t>
        </r>
        <r>
          <rPr>
            <sz val="9"/>
            <color indexed="81"/>
            <rFont val="Tahoma"/>
          </rPr>
          <t xml:space="preserve">
page 50 8.50</t>
        </r>
      </text>
    </comment>
    <comment ref="CG82" authorId="0">
      <text>
        <r>
          <rPr>
            <b/>
            <sz val="9"/>
            <color indexed="81"/>
            <rFont val="Tahoma"/>
          </rPr>
          <t>Sandra Alota:</t>
        </r>
        <r>
          <rPr>
            <sz val="9"/>
            <color indexed="81"/>
            <rFont val="Tahoma"/>
          </rPr>
          <t xml:space="preserve">
page 43 7.4
Officer comment: The scheme proposes a 23 storey building up to a maximum height of
86.65m AOD, including all associated plant and lift overruns. This is clear within the
application documents and agreed description of development)
page 57 8.85</t>
        </r>
      </text>
    </comment>
    <comment ref="CH82" authorId="0">
      <text>
        <r>
          <rPr>
            <b/>
            <sz val="9"/>
            <color indexed="81"/>
            <rFont val="Tahoma"/>
          </rPr>
          <t>Sandra Alota:</t>
        </r>
        <r>
          <rPr>
            <sz val="9"/>
            <color indexed="81"/>
            <rFont val="Tahoma"/>
          </rPr>
          <t xml:space="preserve">
page 9 3.51
page 43 7.4
Officer comment: The scheme proposes a 23 storey building up to a maximum height of
86.65m AOD, including all associated plant and lift overruns. This is clear within the
application documents and agreed description of development)
page 57 8.85</t>
        </r>
      </text>
    </comment>
    <comment ref="CJ82" authorId="0">
      <text>
        <r>
          <rPr>
            <b/>
            <sz val="9"/>
            <color indexed="81"/>
            <rFont val="Tahoma"/>
          </rPr>
          <t>Sandra Alota:</t>
        </r>
        <r>
          <rPr>
            <sz val="9"/>
            <color indexed="81"/>
            <rFont val="Tahoma"/>
          </rPr>
          <t xml:space="preserve">
CIL amount not indicated
page 36 6.16
Community Infrastructure Levy
The applicant will need to include appropriate contributions relating to CIL.</t>
        </r>
      </text>
    </comment>
    <comment ref="AP83" authorId="0">
      <text>
        <r>
          <rPr>
            <b/>
            <sz val="9"/>
            <color indexed="81"/>
            <rFont val="Tahoma"/>
          </rPr>
          <t>Sandra Alota:</t>
        </r>
        <r>
          <rPr>
            <sz val="9"/>
            <color indexed="81"/>
            <rFont val="Tahoma"/>
          </rPr>
          <t xml:space="preserve">
page 17 8.8 The scheme is proposing 486 units and the proposed residential
accommodation would result in a density of approximately 1429 habitable rooms per
hectare (1272hr/0.89ha).</t>
        </r>
      </text>
    </comment>
    <comment ref="AW83" authorId="0">
      <text>
        <r>
          <rPr>
            <b/>
            <sz val="9"/>
            <color indexed="81"/>
            <rFont val="Tahoma"/>
          </rPr>
          <t>Sandra Alota:</t>
        </r>
        <r>
          <rPr>
            <sz val="9"/>
            <color indexed="81"/>
            <rFont val="Tahoma"/>
          </rPr>
          <t xml:space="preserve">
page 6 4.4 current scheme 
page 20 8.34 Child play space required 534 sq. m.</t>
        </r>
      </text>
    </comment>
    <comment ref="CE83" authorId="0">
      <text>
        <r>
          <rPr>
            <b/>
            <sz val="9"/>
            <color indexed="81"/>
            <rFont val="Tahoma"/>
          </rPr>
          <t>Sandra Alota:</t>
        </r>
        <r>
          <rPr>
            <sz val="9"/>
            <color indexed="81"/>
            <rFont val="Tahoma"/>
          </rPr>
          <t xml:space="preserve">
page 26 8.70 In order to maximise the areas of open space for pedestrians and to minimise the impact of
car parking at ground level, 202 car and 19 motorcycle basement parking spaces will be
provided.</t>
        </r>
      </text>
    </comment>
    <comment ref="CF83" authorId="0">
      <text>
        <r>
          <rPr>
            <b/>
            <sz val="9"/>
            <color indexed="81"/>
            <rFont val="Tahoma"/>
          </rPr>
          <t>Sandra Alota:</t>
        </r>
        <r>
          <rPr>
            <sz val="9"/>
            <color indexed="81"/>
            <rFont val="Tahoma"/>
          </rPr>
          <t xml:space="preserve">
page 26 8.74 Tfl advised that the 250 cycle parking spaces were inadequate and more should be
provided, in accordance with their cycle parking standard of 1 space per dwelling unit. The
current amended scheme has increased the cycle parking provision to 1:1 residential
spaces and provides cycle stands for visitors and the retail unit within the landscaping pl</t>
        </r>
      </text>
    </comment>
    <comment ref="CH83" authorId="0">
      <text>
        <r>
          <rPr>
            <b/>
            <sz val="9"/>
            <color indexed="81"/>
            <rFont val="Tahoma"/>
          </rPr>
          <t>Sandra Alota:</t>
        </r>
        <r>
          <rPr>
            <sz val="9"/>
            <color indexed="81"/>
            <rFont val="Tahoma"/>
          </rPr>
          <t xml:space="preserve">
page 22 8.50</t>
        </r>
      </text>
    </comment>
    <comment ref="CI83" authorId="0">
      <text>
        <r>
          <rPr>
            <b/>
            <sz val="9"/>
            <color indexed="81"/>
            <rFont val="Tahoma"/>
          </rPr>
          <t>Sandra Alota:</t>
        </r>
        <r>
          <rPr>
            <sz val="9"/>
            <color indexed="81"/>
            <rFont val="Tahoma"/>
          </rPr>
          <t xml:space="preserve">
Total financial contribution not specifically indicated.
Please see page 3 3.3</t>
        </r>
      </text>
    </comment>
    <comment ref="AH86" authorId="0">
      <text>
        <r>
          <rPr>
            <b/>
            <sz val="9"/>
            <color indexed="81"/>
            <rFont val="Tahoma"/>
          </rPr>
          <t>Sandra Alota:</t>
        </r>
        <r>
          <rPr>
            <sz val="9"/>
            <color indexed="81"/>
            <rFont val="Tahoma"/>
          </rPr>
          <t xml:space="preserve">
page 8 4.4
This is a new planning application for revised proposals to extant hybrid planning permission which was granted on 6 September 2007 (ref. PA/06/00748)</t>
        </r>
      </text>
    </comment>
    <comment ref="AN86" authorId="0">
      <text>
        <r>
          <rPr>
            <b/>
            <sz val="9"/>
            <color indexed="81"/>
            <rFont val="Tahoma"/>
          </rPr>
          <t>Sandra Alota:</t>
        </r>
        <r>
          <rPr>
            <sz val="9"/>
            <color indexed="81"/>
            <rFont val="Tahoma"/>
          </rPr>
          <t xml:space="preserve">
page 11 5.2
However, the application site also includes approximately 0.67 hectares of land within the London Borough of Newham to the north of the River Lea and approximately 0.44 hectares across the River Lea itself  for a pedestrian access link to Canning Town Station</t>
        </r>
      </text>
    </comment>
    <comment ref="AQ86" authorId="0">
      <text>
        <r>
          <rPr>
            <b/>
            <sz val="9"/>
            <color indexed="81"/>
            <rFont val="Tahoma"/>
          </rPr>
          <t>Sandra Alota:</t>
        </r>
        <r>
          <rPr>
            <sz val="9"/>
            <color indexed="81"/>
            <rFont val="Tahoma"/>
          </rPr>
          <t xml:space="preserve">
page 39 10.15</t>
        </r>
      </text>
    </comment>
    <comment ref="AR86" authorId="0">
      <text>
        <r>
          <rPr>
            <b/>
            <sz val="9"/>
            <color indexed="81"/>
            <rFont val="Tahoma"/>
          </rPr>
          <t>Sandra Alota:</t>
        </r>
        <r>
          <rPr>
            <sz val="9"/>
            <color indexed="81"/>
            <rFont val="Tahoma"/>
          </rPr>
          <t xml:space="preserve">
page 71 10.266
page 73 10.268
Council requirements = 1,095 sqm
Mayor requirements = 3,650 sqm</t>
        </r>
      </text>
    </comment>
    <comment ref="AW86" authorId="0">
      <text>
        <r>
          <rPr>
            <b/>
            <sz val="9"/>
            <color indexed="81"/>
            <rFont val="Tahoma"/>
          </rPr>
          <t>Sandra Alota:</t>
        </r>
        <r>
          <rPr>
            <sz val="9"/>
            <color indexed="81"/>
            <rFont val="Tahoma"/>
          </rPr>
          <t xml:space="preserve">
page 30 8.57
page 72 10.267
page 73 10.268
No breakdown </t>
        </r>
      </text>
    </comment>
    <comment ref="BD86" authorId="0">
      <text>
        <r>
          <rPr>
            <b/>
            <sz val="9"/>
            <color indexed="81"/>
            <rFont val="Tahoma"/>
          </rPr>
          <t>Sandra Alota:</t>
        </r>
        <r>
          <rPr>
            <sz val="9"/>
            <color indexed="81"/>
            <rFont val="Tahoma"/>
          </rPr>
          <t xml:space="preserve">
page 54 10.124
There is phase 1 and 2 and units were combined and shown as: Studios &amp; 1 beds / 2 beds / 3, 4 &amp; 5 beds</t>
        </r>
      </text>
    </comment>
    <comment ref="BK86" authorId="0">
      <text>
        <r>
          <rPr>
            <b/>
            <sz val="9"/>
            <color indexed="81"/>
            <rFont val="Tahoma"/>
          </rPr>
          <t>Sandra Alota:</t>
        </r>
        <r>
          <rPr>
            <sz val="9"/>
            <color indexed="81"/>
            <rFont val="Tahoma"/>
          </rPr>
          <t xml:space="preserve">
page 54 10.124
There is phase 1 and 2 and units were combined and shown as: Studios &amp; 1 beds / 2 beds / 3, 4 &amp; 5 beds</t>
        </r>
      </text>
    </comment>
    <comment ref="BR86" authorId="0">
      <text>
        <r>
          <rPr>
            <b/>
            <sz val="9"/>
            <color indexed="81"/>
            <rFont val="Tahoma"/>
          </rPr>
          <t>Sandra Alota:</t>
        </r>
        <r>
          <rPr>
            <sz val="9"/>
            <color indexed="81"/>
            <rFont val="Tahoma"/>
          </rPr>
          <t xml:space="preserve">
page 54 10.124
There is phase 1 and 2 and units were combined and shown as: Studios &amp; 1 beds / 2 beds / 3, 4 &amp; 5 beds</t>
        </r>
      </text>
    </comment>
    <comment ref="BS86" authorId="0">
      <text>
        <r>
          <rPr>
            <b/>
            <sz val="9"/>
            <color indexed="81"/>
            <rFont val="Tahoma"/>
          </rPr>
          <t>Sandra Alota:</t>
        </r>
        <r>
          <rPr>
            <sz val="9"/>
            <color indexed="81"/>
            <rFont val="Tahoma"/>
          </rPr>
          <t xml:space="preserve">
page 54 10.124
There is phase 1 and 2 and units were combined and shown as: Studios &amp; 1 beds / 2 beds / 3, 4 &amp; 5 beds
There is an error in computation for Total of phase 1 &amp; phase 2 as per pdf it is 1,736 but it should only be 1,706 = Studios &amp; 1 beds should only be 966  not 996</t>
        </r>
      </text>
    </comment>
    <comment ref="BZ86" authorId="0">
      <text>
        <r>
          <rPr>
            <b/>
            <sz val="9"/>
            <color indexed="81"/>
            <rFont val="Tahoma"/>
          </rPr>
          <t>Sandra Alota:</t>
        </r>
        <r>
          <rPr>
            <sz val="9"/>
            <color indexed="81"/>
            <rFont val="Tahoma"/>
          </rPr>
          <t xml:space="preserve">
page 38 10.8</t>
        </r>
      </text>
    </comment>
    <comment ref="CB86" authorId="0">
      <text>
        <r>
          <rPr>
            <b/>
            <sz val="9"/>
            <color indexed="81"/>
            <rFont val="Tahoma"/>
          </rPr>
          <t>Sandra Alota:</t>
        </r>
        <r>
          <rPr>
            <sz val="9"/>
            <color indexed="81"/>
            <rFont val="Tahoma"/>
          </rPr>
          <t xml:space="preserve">
page 38 10.8
Education</t>
        </r>
      </text>
    </comment>
    <comment ref="CC86" authorId="0">
      <text>
        <r>
          <rPr>
            <b/>
            <sz val="9"/>
            <color indexed="81"/>
            <rFont val="Tahoma"/>
          </rPr>
          <t>Sandra Alota:</t>
        </r>
        <r>
          <rPr>
            <sz val="9"/>
            <color indexed="81"/>
            <rFont val="Tahoma"/>
          </rPr>
          <t xml:space="preserve">
page 38 10.8
Leisure</t>
        </r>
      </text>
    </comment>
    <comment ref="CD86" authorId="0">
      <text>
        <r>
          <rPr>
            <b/>
            <sz val="9"/>
            <color indexed="81"/>
            <rFont val="Tahoma"/>
          </rPr>
          <t>Sandra Alota:</t>
        </r>
        <r>
          <rPr>
            <sz val="9"/>
            <color indexed="81"/>
            <rFont val="Tahoma"/>
          </rPr>
          <t xml:space="preserve">
page 38 10.8
Arts &amp; Cultural</t>
        </r>
      </text>
    </comment>
    <comment ref="CE86" authorId="0">
      <text>
        <r>
          <rPr>
            <b/>
            <sz val="9"/>
            <color indexed="81"/>
            <rFont val="Tahoma"/>
          </rPr>
          <t>Sandra Alota:</t>
        </r>
        <r>
          <rPr>
            <sz val="9"/>
            <color indexed="81"/>
            <rFont val="Tahoma"/>
          </rPr>
          <t xml:space="preserve">
page 43 10.19
The scheme proposes a maximum of 629 car parking spaces for the 1,706 units proposed (including 10% disabled spaces) and a further 37 spaces for the remaining community, retail and office uses.</t>
        </r>
      </text>
    </comment>
    <comment ref="CF86" authorId="0">
      <text>
        <r>
          <rPr>
            <b/>
            <sz val="9"/>
            <color indexed="81"/>
            <rFont val="Tahoma"/>
          </rPr>
          <t>Sandra Alota:</t>
        </r>
        <r>
          <rPr>
            <sz val="9"/>
            <color indexed="81"/>
            <rFont val="Tahoma"/>
          </rPr>
          <t xml:space="preserve">
Total is not indicated fro residential cycling spaces = as per page 44 10.
45 The applicant commits to the provision of 1 cycle space per residential unit, with a 140 cycle spaces for the non residential element of the proposal.</t>
        </r>
      </text>
    </comment>
    <comment ref="CH86" authorId="0">
      <text>
        <r>
          <rPr>
            <b/>
            <sz val="9"/>
            <color indexed="81"/>
            <rFont val="Tahoma"/>
          </rPr>
          <t>Sandra Alota:</t>
        </r>
        <r>
          <rPr>
            <sz val="9"/>
            <color indexed="81"/>
            <rFont val="Tahoma"/>
          </rPr>
          <t xml:space="preserve">
page 9 4.8
page 49 10.84</t>
        </r>
      </text>
    </comment>
    <comment ref="CI86" authorId="0">
      <text>
        <r>
          <rPr>
            <b/>
            <sz val="9"/>
            <color indexed="81"/>
            <rFont val="Tahoma"/>
          </rPr>
          <t>Sandra Alota:</t>
        </r>
        <r>
          <rPr>
            <sz val="9"/>
            <color indexed="81"/>
            <rFont val="Tahoma"/>
          </rPr>
          <t xml:space="preserve">
page 83 10.360 &amp; 10.361
This comes to almost £10m which clearly exceeds the £7m available through LTGDC tariff.</t>
        </r>
      </text>
    </comment>
    <comment ref="AO87" authorId="0">
      <text>
        <r>
          <rPr>
            <b/>
            <sz val="9"/>
            <color indexed="81"/>
            <rFont val="Tahoma"/>
          </rPr>
          <t>Sandra Alota:</t>
        </r>
        <r>
          <rPr>
            <sz val="9"/>
            <color indexed="81"/>
            <rFont val="Tahoma"/>
          </rPr>
          <t xml:space="preserve">
page 28 9.52 The site has a “good” public transport accessibility level (PTAL 4). For central locations
with a PTAL of 4, both London Plan (Policy 3.4, Table 3.2) and LBTH Core Strategy
seek a density of between 650 and 1100 habitable rooms per hectare.</t>
        </r>
      </text>
    </comment>
    <comment ref="AP87" authorId="0">
      <text>
        <r>
          <rPr>
            <b/>
            <sz val="9"/>
            <color indexed="81"/>
            <rFont val="Tahoma"/>
          </rPr>
          <t>Sandra Alota:</t>
        </r>
        <r>
          <rPr>
            <sz val="9"/>
            <color indexed="81"/>
            <rFont val="Tahoma"/>
          </rPr>
          <t xml:space="preserve">
page 28 9.53 The density of the development is 2,850 habitable rooms per hectare which is above the
indicative range set out by London Plan Policy 3.4. It is acknowledged that this figure is
significantly in excess of the London Plan density ranges. However, the intent of the
London Plan and Council’s MDD is to optimise the intensity of use compatible with local
context, good design principles and public transport capacity. In assessing whether the
density is appropriate for the site, consideration should be given to the quality of
residential accommodation.</t>
        </r>
      </text>
    </comment>
    <comment ref="AT87" authorId="0">
      <text>
        <r>
          <rPr>
            <b/>
            <sz val="9"/>
            <color indexed="81"/>
            <rFont val="Tahoma"/>
          </rPr>
          <t>Sandra Alota:</t>
        </r>
        <r>
          <rPr>
            <sz val="9"/>
            <color indexed="81"/>
            <rFont val="Tahoma"/>
          </rPr>
          <t xml:space="preserve">
page 33 9.89
child play space
under 5 = required = 526 sqm = provided = 581 sqm</t>
        </r>
      </text>
    </comment>
    <comment ref="AU87" authorId="0">
      <text>
        <r>
          <rPr>
            <b/>
            <sz val="9"/>
            <color indexed="81"/>
            <rFont val="Tahoma"/>
          </rPr>
          <t>Sandra Alota:</t>
        </r>
        <r>
          <rPr>
            <sz val="9"/>
            <color indexed="81"/>
            <rFont val="Tahoma"/>
          </rPr>
          <t xml:space="preserve">
page 33 9.89
child play space
5-10 = required = 343 sqm = provided = 439 sqm</t>
        </r>
      </text>
    </comment>
    <comment ref="AV87" authorId="0">
      <text>
        <r>
          <rPr>
            <b/>
            <sz val="9"/>
            <color indexed="81"/>
            <rFont val="Tahoma"/>
          </rPr>
          <t>Sandra Alota:</t>
        </r>
        <r>
          <rPr>
            <sz val="9"/>
            <color indexed="81"/>
            <rFont val="Tahoma"/>
          </rPr>
          <t xml:space="preserve">
page 33 9.89
child play space
11-15 = required = 184 sqm = provided = 196 sqm</t>
        </r>
      </text>
    </comment>
    <comment ref="AW87" authorId="0">
      <text>
        <r>
          <rPr>
            <b/>
            <sz val="9"/>
            <color indexed="81"/>
            <rFont val="Tahoma"/>
          </rPr>
          <t>Sandra Alota:</t>
        </r>
        <r>
          <rPr>
            <sz val="9"/>
            <color indexed="81"/>
            <rFont val="Tahoma"/>
          </rPr>
          <t xml:space="preserve">
page 33 9.89 required: 526sqm+343sqm+184sqm = 1053sqm ; provided: 581sqm+439sqm+196sqm=1216sqm</t>
        </r>
      </text>
    </comment>
    <comment ref="CE87" authorId="0">
      <text>
        <r>
          <rPr>
            <b/>
            <sz val="9"/>
            <color indexed="81"/>
            <rFont val="Tahoma"/>
          </rPr>
          <t>Sandra Alota:</t>
        </r>
        <r>
          <rPr>
            <sz val="9"/>
            <color indexed="81"/>
            <rFont val="Tahoma"/>
          </rPr>
          <t xml:space="preserve">
page 39 9.133</t>
        </r>
      </text>
    </comment>
    <comment ref="CF87" authorId="0">
      <text>
        <r>
          <rPr>
            <b/>
            <sz val="9"/>
            <color indexed="81"/>
            <rFont val="Tahoma"/>
          </rPr>
          <t>Sandra Alota:</t>
        </r>
        <r>
          <rPr>
            <sz val="9"/>
            <color indexed="81"/>
            <rFont val="Tahoma"/>
          </rPr>
          <t xml:space="preserve">
page 39 9.136 467 cycle parking spaces are provided for the residential element with private units
having a separate store to the affordable units (both accessed via a bicycle lift in the main
tower), 2 for the office (at ground floor level), and 12 for visitors.</t>
        </r>
      </text>
    </comment>
    <comment ref="CG87" authorId="0">
      <text>
        <r>
          <rPr>
            <b/>
            <sz val="9"/>
            <color indexed="81"/>
            <rFont val="Tahoma"/>
          </rPr>
          <t>Sandra Alota:</t>
        </r>
        <r>
          <rPr>
            <sz val="9"/>
            <color indexed="81"/>
            <rFont val="Tahoma"/>
          </rPr>
          <t xml:space="preserve">
page 22 9.21
The main feature of the proposed development is a single tall tower (187m AOD) which
has a simple and slender form which is reflective of the Pan Peninsular Towers to the
west, Dollar Bay (extant planning consent) to the east, Wood Wharf (extant planning
consent) to the north of the site, and is generally in keeping with the established Canary
Wharf vernacular.</t>
        </r>
      </text>
    </comment>
    <comment ref="CH87" authorId="0">
      <text>
        <r>
          <rPr>
            <b/>
            <sz val="9"/>
            <color indexed="81"/>
            <rFont val="Tahoma"/>
          </rPr>
          <t>Sandra Alota:</t>
        </r>
        <r>
          <rPr>
            <sz val="9"/>
            <color indexed="81"/>
            <rFont val="Tahoma"/>
          </rPr>
          <t xml:space="preserve">
page 1 under Application</t>
        </r>
      </text>
    </comment>
    <comment ref="CJ87" authorId="0">
      <text>
        <r>
          <rPr>
            <b/>
            <sz val="9"/>
            <color indexed="81"/>
            <rFont val="Tahoma"/>
          </rPr>
          <t>Sandra Alota:</t>
        </r>
        <r>
          <rPr>
            <sz val="9"/>
            <color indexed="81"/>
            <rFont val="Tahoma"/>
          </rPr>
          <t xml:space="preserve">
page 40 9.138 The development will be required to make a contribution of around £1,413,160 towards
the Mayor of London’s Community Infrastructure Levy (CIL) which pools funds to help
meet the cost of delivering Crossrail across London. CIL takes precedence over the
Mayor of London’s Crossrail SPG contribution, as the overall figure is higher.</t>
        </r>
      </text>
    </comment>
    <comment ref="AW88" authorId="0">
      <text>
        <r>
          <rPr>
            <b/>
            <sz val="9"/>
            <color indexed="81"/>
            <rFont val="Tahoma"/>
          </rPr>
          <t>Sandra Alota:</t>
        </r>
        <r>
          <rPr>
            <sz val="9"/>
            <color indexed="81"/>
            <rFont val="Tahoma"/>
          </rPr>
          <t xml:space="preserve">
page 33 10.73
provided on site = 243 sqm 
Policy requirement = 261
- 18 sqm</t>
        </r>
      </text>
    </comment>
    <comment ref="BU88" authorId="0">
      <text>
        <r>
          <rPr>
            <b/>
            <sz val="9"/>
            <color indexed="81"/>
            <rFont val="Tahoma"/>
          </rPr>
          <t>Sandra Alota:</t>
        </r>
        <r>
          <rPr>
            <sz val="9"/>
            <color indexed="81"/>
            <rFont val="Tahoma"/>
          </rPr>
          <t xml:space="preserve">
page 6 6.1</t>
        </r>
      </text>
    </comment>
    <comment ref="CE88" authorId="0">
      <text>
        <r>
          <rPr>
            <b/>
            <sz val="9"/>
            <color indexed="81"/>
            <rFont val="Tahoma"/>
          </rPr>
          <t xml:space="preserve">Sandra Alota:
</t>
        </r>
        <r>
          <rPr>
            <sz val="9"/>
            <color indexed="81"/>
            <rFont val="Tahoma"/>
          </rPr>
          <t xml:space="preserve">page 19 8.55
The proposal involves retaining the current car parking provision at Lanark Square and
relocating 15 existing car parking spaces from Pepper Street to Lanark Square and the
adjacent basement car park. 
page 35 10.89
The development proposals would remove existing 15 spaces and provide 9 disabled
spaces including one Electric Vehicle Charging Points.
</t>
        </r>
      </text>
    </comment>
    <comment ref="CF88" authorId="0">
      <text>
        <r>
          <rPr>
            <b/>
            <sz val="9"/>
            <color indexed="81"/>
            <rFont val="Tahoma"/>
          </rPr>
          <t>Sandra Alota:</t>
        </r>
        <r>
          <rPr>
            <sz val="9"/>
            <color indexed="81"/>
            <rFont val="Tahoma"/>
          </rPr>
          <t xml:space="preserve">
page 35 10.93</t>
        </r>
      </text>
    </comment>
    <comment ref="CI88" authorId="0">
      <text>
        <r>
          <rPr>
            <b/>
            <sz val="9"/>
            <color indexed="81"/>
            <rFont val="Tahoma"/>
          </rPr>
          <t>Sandra Alota:</t>
        </r>
        <r>
          <rPr>
            <sz val="9"/>
            <color indexed="81"/>
            <rFont val="Tahoma"/>
          </rPr>
          <t xml:space="preserve">
page 4 3.2</t>
        </r>
      </text>
    </comment>
    <comment ref="AH92" authorId="0">
      <text>
        <r>
          <rPr>
            <b/>
            <sz val="9"/>
            <color indexed="81"/>
            <rFont val="Tahoma"/>
          </rPr>
          <t>Sandra Alota:</t>
        </r>
        <r>
          <rPr>
            <sz val="9"/>
            <color indexed="81"/>
            <rFont val="Tahoma"/>
          </rPr>
          <t xml:space="preserve">
Previous meeting = May 29, 2008 refused </t>
        </r>
      </text>
    </comment>
    <comment ref="AT92" authorId="0">
      <text>
        <r>
          <rPr>
            <b/>
            <sz val="9"/>
            <color indexed="81"/>
            <rFont val="Tahoma"/>
          </rPr>
          <t>Sandra Alota:</t>
        </r>
        <r>
          <rPr>
            <sz val="9"/>
            <color indexed="81"/>
            <rFont val="Tahoma"/>
          </rPr>
          <t xml:space="preserve">
no breakdown page 15
and page 29 8.56</t>
        </r>
      </text>
    </comment>
    <comment ref="AW92" authorId="0">
      <text>
        <r>
          <rPr>
            <b/>
            <sz val="9"/>
            <color indexed="81"/>
            <rFont val="Tahoma"/>
          </rPr>
          <t>Sandra Alota:</t>
        </r>
        <r>
          <rPr>
            <sz val="9"/>
            <color indexed="81"/>
            <rFont val="Tahoma"/>
          </rPr>
          <t xml:space="preserve">
page 7 4.11
380sqm of children’s playspace at podium level;
page 29 8.56
</t>
        </r>
      </text>
    </comment>
    <comment ref="BS92" authorId="0">
      <text>
        <r>
          <rPr>
            <b/>
            <sz val="9"/>
            <color indexed="81"/>
            <rFont val="Tahoma"/>
          </rPr>
          <t>Sandra Alota:</t>
        </r>
        <r>
          <rPr>
            <sz val="9"/>
            <color indexed="81"/>
            <rFont val="Tahoma"/>
          </rPr>
          <t xml:space="preserve">
Onsite Unit page 24 8.21
There's an offiste units indicated with equivalent financial contribution</t>
        </r>
      </text>
    </comment>
    <comment ref="CE92" authorId="0">
      <text>
        <r>
          <rPr>
            <b/>
            <sz val="9"/>
            <color indexed="81"/>
            <rFont val="Tahoma"/>
          </rPr>
          <t>Sandra Alota:</t>
        </r>
        <r>
          <rPr>
            <sz val="9"/>
            <color indexed="81"/>
            <rFont val="Tahoma"/>
          </rPr>
          <t xml:space="preserve">
page 7</t>
        </r>
      </text>
    </comment>
    <comment ref="CI92" authorId="0">
      <text>
        <r>
          <rPr>
            <b/>
            <sz val="9"/>
            <color indexed="81"/>
            <rFont val="Tahoma"/>
          </rPr>
          <t>Sandra Alota:</t>
        </r>
        <r>
          <rPr>
            <sz val="9"/>
            <color indexed="81"/>
            <rFont val="Tahoma"/>
          </rPr>
          <t xml:space="preserve">
Total not specifically indicated</t>
        </r>
      </text>
    </comment>
    <comment ref="AP98" authorId="0">
      <text>
        <r>
          <rPr>
            <b/>
            <sz val="9"/>
            <color indexed="81"/>
            <rFont val="Tahoma"/>
          </rPr>
          <t>Sandra Alota:</t>
        </r>
        <r>
          <rPr>
            <sz val="9"/>
            <color indexed="81"/>
            <rFont val="Tahoma"/>
          </rPr>
          <t xml:space="preserve">
Appendix 1.pdf
page 24 8.14</t>
        </r>
      </text>
    </comment>
    <comment ref="AW98" authorId="0">
      <text>
        <r>
          <rPr>
            <b/>
            <sz val="9"/>
            <color indexed="81"/>
            <rFont val="Tahoma"/>
          </rPr>
          <t>Sandra Alota:</t>
        </r>
        <r>
          <rPr>
            <sz val="9"/>
            <color indexed="81"/>
            <rFont val="Tahoma"/>
          </rPr>
          <t xml:space="preserve">
Appendix 1.pdf page 31 8.67 200 sqm only is proposed within scheme a shortfall of 470 sqm
</t>
        </r>
      </text>
    </comment>
    <comment ref="CE98" authorId="0">
      <text>
        <r>
          <rPr>
            <b/>
            <sz val="9"/>
            <color indexed="81"/>
            <rFont val="Tahoma"/>
          </rPr>
          <t>Sandra Alota:</t>
        </r>
        <r>
          <rPr>
            <sz val="9"/>
            <color indexed="81"/>
            <rFont val="Tahoma"/>
          </rPr>
          <t xml:space="preserve">
Appendix 1.pdf page 37 8.114</t>
        </r>
      </text>
    </comment>
    <comment ref="CF98" authorId="0">
      <text>
        <r>
          <rPr>
            <b/>
            <sz val="9"/>
            <color indexed="81"/>
            <rFont val="Tahoma"/>
          </rPr>
          <t>Sandra Alota:</t>
        </r>
        <r>
          <rPr>
            <sz val="9"/>
            <color indexed="81"/>
            <rFont val="Tahoma"/>
          </rPr>
          <t xml:space="preserve">
Appendix 1.pdf page 37 8.123</t>
        </r>
      </text>
    </comment>
    <comment ref="CI98" authorId="0">
      <text>
        <r>
          <rPr>
            <b/>
            <sz val="9"/>
            <color indexed="81"/>
            <rFont val="Tahoma"/>
          </rPr>
          <t>Sandra Alota:</t>
        </r>
        <r>
          <rPr>
            <sz val="9"/>
            <color indexed="81"/>
            <rFont val="Tahoma"/>
          </rPr>
          <t xml:space="preserve">
Update.pdf
Total financial Contributions Secured £826, 408</t>
        </r>
      </text>
    </comment>
    <comment ref="CJ98" authorId="0">
      <text>
        <r>
          <rPr>
            <b/>
            <sz val="9"/>
            <color indexed="81"/>
            <rFont val="Tahoma"/>
          </rPr>
          <t>Sandra Alota:</t>
        </r>
        <r>
          <rPr>
            <sz val="9"/>
            <color indexed="81"/>
            <rFont val="Tahoma"/>
          </rPr>
          <t xml:space="preserve">
Appendix 1.pdf
page 40 8.152</t>
        </r>
      </text>
    </comment>
    <comment ref="AW99" authorId="0">
      <text>
        <r>
          <rPr>
            <b/>
            <sz val="9"/>
            <color indexed="81"/>
            <rFont val="Tahoma"/>
          </rPr>
          <t>Sandra Alota:</t>
        </r>
        <r>
          <rPr>
            <sz val="9"/>
            <color indexed="81"/>
            <rFont val="Tahoma"/>
          </rPr>
          <t xml:space="preserve">
page 31 8.56
In accordance with Policy DM4 of MDD, LBTH
Planning Obligations SPD and Mayor of London’s Shaping Neighbourhoods: Play
and Informal Recreation SPD the development should provide a minimum 10sq.m
per child and therefore a minimum of 400sq.m of defined play space for all ages
(ages 0-15). The scheme provides 436sq.m of the dedicated child play space. As
such the scheme provides a quantum of on-site play space that complies with Policy
DM4 of the MDD</t>
        </r>
      </text>
    </comment>
    <comment ref="BD99" authorId="0">
      <text>
        <r>
          <rPr>
            <b/>
            <sz val="9"/>
            <color indexed="81"/>
            <rFont val="Tahoma"/>
          </rPr>
          <t>Sandra Alota:</t>
        </r>
        <r>
          <rPr>
            <sz val="9"/>
            <color indexed="81"/>
            <rFont val="Tahoma"/>
          </rPr>
          <t xml:space="preserve">
No specific/exact breakdown
page 10 7.7 (please see also page 27 8.32 &amp; 8.34 &amp; page 42 8.126)</t>
        </r>
      </text>
    </comment>
    <comment ref="BK99" authorId="0">
      <text>
        <r>
          <rPr>
            <b/>
            <sz val="9"/>
            <color indexed="81"/>
            <rFont val="Tahoma"/>
          </rPr>
          <t>Sandra Alota:</t>
        </r>
        <r>
          <rPr>
            <sz val="9"/>
            <color indexed="81"/>
            <rFont val="Tahoma"/>
          </rPr>
          <t xml:space="preserve">
No specific/exact breakdown
page 10 7.7 (please see also page 27 8.32 &amp; 8.34 &amp; page 42 8.126) 11 = social rented + 9 affordable rented = 20</t>
        </r>
      </text>
    </comment>
    <comment ref="BR99" authorId="0">
      <text>
        <r>
          <rPr>
            <b/>
            <sz val="9"/>
            <color indexed="81"/>
            <rFont val="Tahoma"/>
          </rPr>
          <t>Sandra Alota:</t>
        </r>
        <r>
          <rPr>
            <sz val="9"/>
            <color indexed="81"/>
            <rFont val="Tahoma"/>
          </rPr>
          <t xml:space="preserve">
No specific/exact breakdown
page 10 7.7 (please see also page 27 8.32 &amp; 8.34 &amp; page 42 8.126)</t>
        </r>
      </text>
    </comment>
    <comment ref="AD106" authorId="0">
      <text>
        <r>
          <rPr>
            <b/>
            <sz val="9"/>
            <color indexed="81"/>
            <rFont val="Tahoma"/>
          </rPr>
          <t>Sandra Alota:</t>
        </r>
        <r>
          <rPr>
            <sz val="9"/>
            <color indexed="81"/>
            <rFont val="Tahoma"/>
          </rPr>
          <t xml:space="preserve">
page 1
(This application is linked to a separate planning application
ref: PA/11/01944 for the erection of 64 residential units at
18-36 Thomas Road. Both of these applications are linked
for reasons relating to the provision of off-site affordable
housing).</t>
        </r>
      </text>
    </comment>
    <comment ref="AP106" authorId="0">
      <text>
        <r>
          <rPr>
            <b/>
            <sz val="9"/>
            <color indexed="81"/>
            <rFont val="Tahoma"/>
          </rPr>
          <t>Sandra Alota:</t>
        </r>
        <r>
          <rPr>
            <sz val="9"/>
            <color indexed="81"/>
            <rFont val="Tahoma"/>
          </rPr>
          <t xml:space="preserve">
page 29 9.13
The proposal results in a density of 1,122hrph.</t>
        </r>
      </text>
    </comment>
    <comment ref="AT106" authorId="0">
      <text>
        <r>
          <rPr>
            <b/>
            <sz val="9"/>
            <color indexed="81"/>
            <rFont val="Tahoma"/>
          </rPr>
          <t>Sandra Alota:</t>
        </r>
        <r>
          <rPr>
            <sz val="9"/>
            <color indexed="81"/>
            <rFont val="Tahoma"/>
          </rPr>
          <t xml:space="preserve">
page 45 9.94
Using LBTH child yield calculations, the proposed development is anticipated to
deliver 12 children and accordingly the development should provide a minimum
of 122sqm of play space. The development proposes to deliver 120sqm of play
space for 0-5 age group.</t>
        </r>
      </text>
    </comment>
    <comment ref="AW106" authorId="0">
      <text>
        <r>
          <rPr>
            <b/>
            <sz val="9"/>
            <color indexed="81"/>
            <rFont val="Tahoma"/>
          </rPr>
          <t>Sandra Alota:</t>
        </r>
        <r>
          <rPr>
            <sz val="9"/>
            <color indexed="81"/>
            <rFont val="Tahoma"/>
          </rPr>
          <t xml:space="preserve">
page 45 9.94
Using LBTH child yield calculations, the proposed development is anticipated to
deliver 12 children and accordingly the development should provide a minimum
of 122sqm of play space. The development proposes to deliver 120sqm of play
space for 0-5 age group.</t>
        </r>
      </text>
    </comment>
    <comment ref="AY106" authorId="0">
      <text>
        <r>
          <rPr>
            <b/>
            <sz val="9"/>
            <color indexed="81"/>
            <rFont val="Tahoma"/>
          </rPr>
          <t>Sandra Alota:</t>
        </r>
        <r>
          <rPr>
            <sz val="9"/>
            <color indexed="81"/>
            <rFont val="Tahoma"/>
          </rPr>
          <t xml:space="preserve">
page 42 9.106</t>
        </r>
      </text>
    </comment>
    <comment ref="AZ106" authorId="0">
      <text>
        <r>
          <rPr>
            <b/>
            <sz val="9"/>
            <color indexed="81"/>
            <rFont val="Tahoma"/>
          </rPr>
          <t>Sandra Alota:</t>
        </r>
        <r>
          <rPr>
            <sz val="9"/>
            <color indexed="81"/>
            <rFont val="Tahoma"/>
          </rPr>
          <t xml:space="preserve">
page 42 9.106</t>
        </r>
      </text>
    </comment>
    <comment ref="CE106" authorId="0">
      <text>
        <r>
          <rPr>
            <b/>
            <sz val="9"/>
            <color indexed="81"/>
            <rFont val="Tahoma"/>
          </rPr>
          <t>Sandra Alota:</t>
        </r>
        <r>
          <rPr>
            <sz val="9"/>
            <color indexed="81"/>
            <rFont val="Tahoma"/>
          </rPr>
          <t xml:space="preserve">
page 30 9.24
There are 12 existing parking spaces on the site and the application proposes a
total of 36 on-site spaces (including 4 disabled parking spaces).</t>
        </r>
      </text>
    </comment>
    <comment ref="CF106" authorId="0">
      <text>
        <r>
          <rPr>
            <b/>
            <sz val="9"/>
            <color indexed="81"/>
            <rFont val="Tahoma"/>
          </rPr>
          <t>Sandra Alota:</t>
        </r>
        <r>
          <rPr>
            <sz val="9"/>
            <color indexed="81"/>
            <rFont val="Tahoma"/>
          </rPr>
          <t xml:space="preserve">
page 31 9.28
183 resident spaces are proposed and
12 visitor spaces.</t>
        </r>
      </text>
    </comment>
    <comment ref="CI106" authorId="0">
      <text>
        <r>
          <rPr>
            <b/>
            <sz val="9"/>
            <color indexed="81"/>
            <rFont val="Tahoma"/>
          </rPr>
          <t>Sandra Alota:</t>
        </r>
        <r>
          <rPr>
            <sz val="9"/>
            <color indexed="81"/>
            <rFont val="Tahoma"/>
          </rPr>
          <t xml:space="preserve">
page 57 9.185 
This provides a
total financial contribution of £1.4m (across both sites).
page 57 9.186
This £1.4million request is based on the Council’s adopted SPD, and equates to
£899k for Dollar Bay and £449k for Thomas Rd.</t>
        </r>
      </text>
    </comment>
    <comment ref="AY107" authorId="0">
      <text>
        <r>
          <rPr>
            <b/>
            <sz val="9"/>
            <color indexed="81"/>
            <rFont val="Tahoma"/>
          </rPr>
          <t>Sandra Alota:</t>
        </r>
        <r>
          <rPr>
            <sz val="9"/>
            <color indexed="81"/>
            <rFont val="Tahoma"/>
          </rPr>
          <t xml:space="preserve">
discrepancy of 1
40 for Dollar Marsh
1 for Thomas Road 
Should be 41 or should 1 should be in 2 bedroom for Thomas Road? ** for checking</t>
        </r>
      </text>
    </comment>
    <comment ref="AZ107" authorId="0">
      <text>
        <r>
          <rPr>
            <b/>
            <sz val="9"/>
            <color indexed="81"/>
            <rFont val="Tahoma"/>
          </rPr>
          <t>Sandra Alota:</t>
        </r>
        <r>
          <rPr>
            <sz val="9"/>
            <color indexed="81"/>
            <rFont val="Tahoma"/>
          </rPr>
          <t xml:space="preserve">
discrepancy of 1
38 for Dollar Marsh
0 for Thomas Road 
Should be 38 or should 1 should be in 2 bedroom for Thomas Road? ** for checking</t>
        </r>
      </text>
    </comment>
    <comment ref="CI107" authorId="0">
      <text>
        <r>
          <rPr>
            <b/>
            <sz val="9"/>
            <color indexed="81"/>
            <rFont val="Tahoma"/>
          </rPr>
          <t>Sandra Alota:</t>
        </r>
        <r>
          <rPr>
            <sz val="9"/>
            <color indexed="81"/>
            <rFont val="Tahoma"/>
          </rPr>
          <t xml:space="preserve">
page 57 9.185 
This provides a
total financial contribution of £1.4m (across both sites).
page 57 9.186
This £1.4million request is based on the Council’s adopted SPD, and equates to
£899k for Dollar Bay and £449k for Thomas Rd.</t>
        </r>
      </text>
    </comment>
    <comment ref="AP108" authorId="0">
      <text>
        <r>
          <rPr>
            <b/>
            <sz val="9"/>
            <color indexed="81"/>
            <rFont val="Tahoma"/>
          </rPr>
          <t>Sandra Alota:</t>
        </r>
        <r>
          <rPr>
            <sz val="9"/>
            <color indexed="81"/>
            <rFont val="Tahoma"/>
          </rPr>
          <t xml:space="preserve">
page 18 8.13
The site has a public transport accessibility level (PTAL) of 3/4, and its immediate setting is
urban in character. According to the London Plan density matrix, the site can
accommodate a density of between 200 and 700 habitable rooms per hectare. The
proposed density is 858 habitable rooms per hectare.</t>
        </r>
      </text>
    </comment>
    <comment ref="AW108" authorId="0">
      <text>
        <r>
          <rPr>
            <b/>
            <sz val="9"/>
            <color indexed="81"/>
            <rFont val="Tahoma"/>
          </rPr>
          <t>Sandra Alota:</t>
        </r>
        <r>
          <rPr>
            <sz val="9"/>
            <color indexed="81"/>
            <rFont val="Tahoma"/>
          </rPr>
          <t xml:space="preserve">
page 24 8.72
Informal play provision is proposed within the areas of communal amenity space within the
development (total 100sqm). Located at podium level, the area of play would incorporate
play boulders, stepping stones and logs, and purpose-built play surfacing. This on-site
playspace is intended for children under 5 (of which there is a policy requirement for 19
children, or 195sqm). Given the constrained nature of the site, on balance the approach
put forward by the applicants is considered acceptable.
page 24 8.73
Additionally, it is not feasible to provide facilities for older children, aged 5 - 15 within the
proposed development.</t>
        </r>
      </text>
    </comment>
    <comment ref="AY108" authorId="0">
      <text>
        <r>
          <rPr>
            <b/>
            <sz val="9"/>
            <color indexed="81"/>
            <rFont val="Tahoma"/>
          </rPr>
          <t>Sandra Alota:</t>
        </r>
        <r>
          <rPr>
            <sz val="9"/>
            <color indexed="81"/>
            <rFont val="Tahoma"/>
          </rPr>
          <t xml:space="preserve">
page 21 8.45</t>
        </r>
      </text>
    </comment>
    <comment ref="AZ108" authorId="0">
      <text>
        <r>
          <rPr>
            <b/>
            <sz val="9"/>
            <color indexed="81"/>
            <rFont val="Tahoma"/>
          </rPr>
          <t>Sandra Alota:</t>
        </r>
        <r>
          <rPr>
            <sz val="9"/>
            <color indexed="81"/>
            <rFont val="Tahoma"/>
          </rPr>
          <t xml:space="preserve">
page 21 8.45</t>
        </r>
      </text>
    </comment>
    <comment ref="BI108" authorId="0">
      <text>
        <r>
          <rPr>
            <b/>
            <sz val="9"/>
            <color indexed="81"/>
            <rFont val="Tahoma"/>
          </rPr>
          <t>Sandra Alota:</t>
        </r>
        <r>
          <rPr>
            <sz val="9"/>
            <color indexed="81"/>
            <rFont val="Tahoma"/>
          </rPr>
          <t xml:space="preserve">
Indicated on Thomas Road 4+ bedroom = 6 but it is listed specifically in the Dollar Marsh List as 4=4 &amp; 5=2 </t>
        </r>
      </text>
    </comment>
    <comment ref="BJ108" authorId="0">
      <text>
        <r>
          <rPr>
            <b/>
            <sz val="9"/>
            <color indexed="81"/>
            <rFont val="Tahoma"/>
          </rPr>
          <t>Sandra Alota:</t>
        </r>
        <r>
          <rPr>
            <sz val="9"/>
            <color indexed="81"/>
            <rFont val="Tahoma"/>
          </rPr>
          <t xml:space="preserve">
Indicated on Thomas Road 4+ bedroom = 6 but it is listed specifically in the Dollar Marsh List as 4=4 &amp; 5=2 </t>
        </r>
      </text>
    </comment>
    <comment ref="CG108" authorId="0">
      <text>
        <r>
          <rPr>
            <b/>
            <sz val="9"/>
            <color indexed="81"/>
            <rFont val="Tahoma"/>
          </rPr>
          <t>Sandra Alota:</t>
        </r>
        <r>
          <rPr>
            <sz val="9"/>
            <color indexed="81"/>
            <rFont val="Tahoma"/>
          </rPr>
          <t xml:space="preserve">
page 5 4.1</t>
        </r>
      </text>
    </comment>
    <comment ref="CH108" authorId="0">
      <text>
        <r>
          <rPr>
            <b/>
            <sz val="9"/>
            <color indexed="81"/>
            <rFont val="Tahoma"/>
          </rPr>
          <t>Sandra Alota:</t>
        </r>
        <r>
          <rPr>
            <sz val="9"/>
            <color indexed="81"/>
            <rFont val="Tahoma"/>
          </rPr>
          <t xml:space="preserve">
page 5 4.1</t>
        </r>
      </text>
    </comment>
    <comment ref="CI108" authorId="0">
      <text>
        <r>
          <rPr>
            <b/>
            <sz val="9"/>
            <color indexed="81"/>
            <rFont val="Tahoma"/>
          </rPr>
          <t>Sandra Alota:</t>
        </r>
        <r>
          <rPr>
            <sz val="9"/>
            <color indexed="81"/>
            <rFont val="Tahoma"/>
          </rPr>
          <t xml:space="preserve">
page 33 8.144
This £1.4million request is based on the Council’s adopted SPD, and equates to £899k for
Dollar Bay and £449k for Thomas Rd.</t>
        </r>
      </text>
    </comment>
    <comment ref="AP115" authorId="0">
      <text>
        <r>
          <rPr>
            <b/>
            <sz val="9"/>
            <color indexed="81"/>
            <rFont val="Tahoma"/>
          </rPr>
          <t>Sandra Alota:</t>
        </r>
        <r>
          <rPr>
            <sz val="9"/>
            <color indexed="81"/>
            <rFont val="Tahoma"/>
          </rPr>
          <t xml:space="preserve">
page 40 8.17
The applicant has provided an indicative accommodation schedule which states that
the density within the area to the north of Poplar High Street/Naval Row would be
approximately 591 hr/ha whilst the density to the south is approximately 1242 hr/ha, with an
overall average density of approximately 847hr/ha.</t>
        </r>
      </text>
    </comment>
    <comment ref="AW115" authorId="0">
      <text>
        <r>
          <rPr>
            <b/>
            <sz val="9"/>
            <color indexed="81"/>
            <rFont val="Tahoma"/>
          </rPr>
          <t>Sandra Alota:</t>
        </r>
        <r>
          <rPr>
            <sz val="9"/>
            <color indexed="81"/>
            <rFont val="Tahoma"/>
          </rPr>
          <t xml:space="preserve">
no breakdown of no. of children
page 61 8.143 
Using LBTH child yield calculations and based on the submitted indicative unit mix, the
proposed development is anticipated to deliver 879 children and accordingly the
development should provide a minimum of 8790 sq.m of play space in accordance with the
London Plan and the emerging MD DPD’s standard of 10sq.m per child. The submitted
public realm strategy details that the development proposes to deliver 8,315 sq.m of play
space.</t>
        </r>
      </text>
    </comment>
    <comment ref="BS115" authorId="0">
      <text>
        <r>
          <rPr>
            <b/>
            <sz val="9"/>
            <color indexed="81"/>
            <rFont val="Tahoma"/>
          </rPr>
          <t>Sandra Alota:</t>
        </r>
        <r>
          <rPr>
            <sz val="9"/>
            <color indexed="81"/>
            <rFont val="Tahoma"/>
          </rPr>
          <t xml:space="preserve">
page 59 8.131</t>
        </r>
      </text>
    </comment>
    <comment ref="CE115" authorId="0">
      <text>
        <r>
          <rPr>
            <b/>
            <sz val="9"/>
            <color indexed="81"/>
            <rFont val="Tahoma"/>
          </rPr>
          <t>Sandra Alota:</t>
        </r>
        <r>
          <rPr>
            <sz val="9"/>
            <color indexed="81"/>
            <rFont val="Tahoma"/>
          </rPr>
          <t xml:space="preserve">
page 44 8.39
The scheme proposes a maximum of 340 off-street car parking spaces.
Page 44 8.40
The applicant has detailed that the 72 on-street spaces will be primarily residential permit
spaces, with further mixed bays where possible.</t>
        </r>
      </text>
    </comment>
    <comment ref="CH115" authorId="0">
      <text>
        <r>
          <rPr>
            <b/>
            <sz val="9"/>
            <color indexed="81"/>
            <rFont val="Tahoma"/>
          </rPr>
          <t xml:space="preserve">Sandra Alota:
</t>
        </r>
        <r>
          <rPr>
            <sz val="9"/>
            <color indexed="81"/>
            <rFont val="Tahoma"/>
          </rPr>
          <t>page 8 phase 1A
Maximum height restriction on parcel A1 of 15 residential storeys (50 metres AOD)
page 54 8.98</t>
        </r>
      </text>
    </comment>
    <comment ref="CI115" authorId="0">
      <text>
        <r>
          <rPr>
            <b/>
            <sz val="9"/>
            <color indexed="81"/>
            <rFont val="Tahoma"/>
          </rPr>
          <t>Sandra Alota:</t>
        </r>
        <r>
          <rPr>
            <sz val="9"/>
            <color indexed="81"/>
            <rFont val="Tahoma"/>
          </rPr>
          <t xml:space="preserve">
page 71 8.226</t>
        </r>
      </text>
    </comment>
    <comment ref="AN157" authorId="0">
      <text>
        <r>
          <rPr>
            <b/>
            <sz val="9"/>
            <color indexed="81"/>
            <rFont val="Tahoma"/>
          </rPr>
          <t>Sandra Alota:</t>
        </r>
        <r>
          <rPr>
            <sz val="9"/>
            <color indexed="81"/>
            <rFont val="Tahoma"/>
          </rPr>
          <t xml:space="preserve">
page 5 4.3</t>
        </r>
      </text>
    </comment>
    <comment ref="AW157" authorId="0">
      <text>
        <r>
          <rPr>
            <b/>
            <sz val="9"/>
            <color indexed="81"/>
            <rFont val="Tahoma"/>
          </rPr>
          <t>Sandra Alota:</t>
        </r>
        <r>
          <rPr>
            <sz val="9"/>
            <color indexed="81"/>
            <rFont val="Tahoma"/>
          </rPr>
          <t xml:space="preserve">
page 26 10.72
For the 0-5 year age group, a total of 420sqm would be required, for 5-10
year olds 350sqm would be required, and for 11-15 year olds 220sqm is
required. As such, a total of 999sqm is required.</t>
        </r>
      </text>
    </comment>
    <comment ref="CE157" authorId="0">
      <text>
        <r>
          <rPr>
            <b/>
            <sz val="9"/>
            <color indexed="81"/>
            <rFont val="Tahoma"/>
          </rPr>
          <t>Sandra Alota:</t>
        </r>
        <r>
          <rPr>
            <sz val="9"/>
            <color indexed="81"/>
            <rFont val="Tahoma"/>
          </rPr>
          <t xml:space="preserve">
page 7 6.8
page 32 10.117</t>
        </r>
      </text>
    </comment>
    <comment ref="CF157" authorId="0">
      <text>
        <r>
          <rPr>
            <b/>
            <sz val="9"/>
            <color indexed="81"/>
            <rFont val="Tahoma"/>
          </rPr>
          <t>Sandra Alota:</t>
        </r>
        <r>
          <rPr>
            <sz val="9"/>
            <color indexed="81"/>
            <rFont val="Tahoma"/>
          </rPr>
          <t xml:space="preserve">
page 7 6.8</t>
        </r>
      </text>
    </comment>
    <comment ref="CI157" authorId="0">
      <text>
        <r>
          <rPr>
            <b/>
            <sz val="9"/>
            <color indexed="81"/>
            <rFont val="Tahoma"/>
          </rPr>
          <t>Sandra Alota:</t>
        </r>
        <r>
          <rPr>
            <sz val="9"/>
            <color indexed="81"/>
            <rFont val="Tahoma"/>
          </rPr>
          <t xml:space="preserve">
page 36 10.136</t>
        </r>
      </text>
    </comment>
    <comment ref="CJ157" authorId="0">
      <text>
        <r>
          <rPr>
            <b/>
            <sz val="9"/>
            <color indexed="81"/>
            <rFont val="Tahoma"/>
          </rPr>
          <t>Sandra Alota:</t>
        </r>
        <r>
          <rPr>
            <sz val="9"/>
            <color indexed="81"/>
            <rFont val="Tahoma"/>
          </rPr>
          <t xml:space="preserve">
page 36 10.137</t>
        </r>
      </text>
    </comment>
    <comment ref="AP158" authorId="0">
      <text>
        <r>
          <rPr>
            <b/>
            <sz val="9"/>
            <color indexed="81"/>
            <rFont val="Tahoma"/>
          </rPr>
          <t>Sandra Alota:</t>
        </r>
        <r>
          <rPr>
            <sz val="9"/>
            <color indexed="81"/>
            <rFont val="Tahoma"/>
          </rPr>
          <t xml:space="preserve">
page 35 9.17</t>
        </r>
      </text>
    </comment>
    <comment ref="AW158" authorId="0">
      <text>
        <r>
          <rPr>
            <b/>
            <sz val="9"/>
            <color indexed="81"/>
            <rFont val="Tahoma"/>
          </rPr>
          <t>Sandra Alota:</t>
        </r>
        <r>
          <rPr>
            <sz val="9"/>
            <color indexed="81"/>
            <rFont val="Tahoma"/>
          </rPr>
          <t xml:space="preserve">
page 54 9.149
</t>
        </r>
      </text>
    </comment>
    <comment ref="BK158" authorId="0">
      <text>
        <r>
          <rPr>
            <b/>
            <sz val="9"/>
            <color indexed="81"/>
            <rFont val="Tahoma"/>
          </rPr>
          <t>Sandra Alota:</t>
        </r>
        <r>
          <rPr>
            <sz val="9"/>
            <color indexed="81"/>
            <rFont val="Tahoma"/>
          </rPr>
          <t xml:space="preserve">
page 50 9.124
Affordable and Social Rent are separated in the table/combined here</t>
        </r>
      </text>
    </comment>
    <comment ref="CE158" authorId="0">
      <text>
        <r>
          <rPr>
            <b/>
            <sz val="9"/>
            <color indexed="81"/>
            <rFont val="Tahoma"/>
          </rPr>
          <t>Sandra Alota:</t>
        </r>
        <r>
          <rPr>
            <sz val="9"/>
            <color indexed="81"/>
            <rFont val="Tahoma"/>
          </rPr>
          <t xml:space="preserve">
page 37 9.33</t>
        </r>
      </text>
    </comment>
    <comment ref="CF158" authorId="0">
      <text>
        <r>
          <rPr>
            <b/>
            <sz val="9"/>
            <color indexed="81"/>
            <rFont val="Tahoma"/>
          </rPr>
          <t>Sandra Alota:</t>
        </r>
        <r>
          <rPr>
            <sz val="9"/>
            <color indexed="81"/>
            <rFont val="Tahoma"/>
          </rPr>
          <t xml:space="preserve">
page 38 9.40
The applicant has confirmed this
commitment. The total number of cycle spaces proposed will be 364 in car parks
plus 37 visitor spaces provided externally.</t>
        </r>
      </text>
    </comment>
    <comment ref="CI158" authorId="0">
      <text>
        <r>
          <rPr>
            <b/>
            <sz val="9"/>
            <color indexed="81"/>
            <rFont val="Tahoma"/>
          </rPr>
          <t>Sandra Alota:</t>
        </r>
        <r>
          <rPr>
            <sz val="9"/>
            <color indexed="81"/>
            <rFont val="Tahoma"/>
          </rPr>
          <t xml:space="preserve">
page 70 9.251</t>
        </r>
      </text>
    </comment>
    <comment ref="AT199" authorId="0">
      <text>
        <r>
          <rPr>
            <b/>
            <sz val="9"/>
            <color indexed="81"/>
            <rFont val="Tahoma"/>
          </rPr>
          <t>Sandra Alota:</t>
        </r>
        <r>
          <rPr>
            <sz val="9"/>
            <color indexed="81"/>
            <rFont val="Tahoma"/>
          </rPr>
          <t xml:space="preserve">
page 30 8.92
0-4 years old</t>
        </r>
      </text>
    </comment>
    <comment ref="AU199" authorId="0">
      <text>
        <r>
          <rPr>
            <b/>
            <sz val="9"/>
            <color indexed="81"/>
            <rFont val="Tahoma"/>
          </rPr>
          <t>Sandra Alota:</t>
        </r>
        <r>
          <rPr>
            <sz val="9"/>
            <color indexed="81"/>
            <rFont val="Tahoma"/>
          </rPr>
          <t xml:space="preserve">
page 30 8.92
5-10 years old</t>
        </r>
      </text>
    </comment>
    <comment ref="AV199" authorId="0">
      <text>
        <r>
          <rPr>
            <b/>
            <sz val="9"/>
            <color indexed="81"/>
            <rFont val="Tahoma"/>
          </rPr>
          <t>Sandra Alota:</t>
        </r>
        <r>
          <rPr>
            <sz val="9"/>
            <color indexed="81"/>
            <rFont val="Tahoma"/>
          </rPr>
          <t xml:space="preserve">
page 30 8.92
11-15 years old
as per proposal = 0 (zero)</t>
        </r>
      </text>
    </comment>
    <comment ref="AW199" authorId="0">
      <text>
        <r>
          <rPr>
            <b/>
            <sz val="9"/>
            <color indexed="81"/>
            <rFont val="Tahoma"/>
          </rPr>
          <t>Sandra Alota:</t>
        </r>
        <r>
          <rPr>
            <sz val="9"/>
            <color indexed="81"/>
            <rFont val="Tahoma"/>
          </rPr>
          <t xml:space="preserve">
page 30 8.92
proposal is only 678 sqm
page 31 8.93
The proposal does not provide child playspace for 11-15 year olds on site. As
such, there is a deficiency of approximately 261 sqm. However, it is considered that an off
site contribution for child playspace would be considered most appropriate for this age
range. </t>
        </r>
      </text>
    </comment>
    <comment ref="CE199" authorId="0">
      <text>
        <r>
          <rPr>
            <b/>
            <sz val="9"/>
            <color indexed="81"/>
            <rFont val="Tahoma"/>
          </rPr>
          <t>Sandra Alota:</t>
        </r>
        <r>
          <rPr>
            <sz val="9"/>
            <color indexed="81"/>
            <rFont val="Tahoma"/>
          </rPr>
          <t xml:space="preserve">
page 31 8.97
The proposal would make provision for 1 onsite accessible car
parking space located to the west of the site and no other car parking spaces on site. This is
supported by LBTH Highways team.</t>
        </r>
      </text>
    </comment>
    <comment ref="CF199" authorId="0">
      <text>
        <r>
          <rPr>
            <b/>
            <sz val="9"/>
            <color indexed="81"/>
            <rFont val="Tahoma"/>
          </rPr>
          <t>Sandra Alota:</t>
        </r>
        <r>
          <rPr>
            <sz val="9"/>
            <color indexed="81"/>
            <rFont val="Tahoma"/>
          </rPr>
          <t xml:space="preserve">
page 31 8.99 
The proposal makes provision for 166 cycle spaces for residents and an additional 12 cycle
parking spaces for visitors. A 146 of the residential spaces would be secure and located in
the basement of the building and 20 spaces would be located at ground floor level.</t>
        </r>
      </text>
    </comment>
    <comment ref="AP200" authorId="0">
      <text>
        <r>
          <rPr>
            <b/>
            <sz val="9"/>
            <color indexed="81"/>
            <rFont val="Tahoma"/>
          </rPr>
          <t>Sandra Alota:</t>
        </r>
        <r>
          <rPr>
            <sz val="9"/>
            <color indexed="81"/>
            <rFont val="Tahoma"/>
          </rPr>
          <t xml:space="preserve">
page 23 8.9</t>
        </r>
      </text>
    </comment>
    <comment ref="CE200" authorId="0">
      <text>
        <r>
          <rPr>
            <b/>
            <sz val="9"/>
            <color indexed="81"/>
            <rFont val="Tahoma"/>
          </rPr>
          <t>Sandra Alota:</t>
        </r>
        <r>
          <rPr>
            <sz val="9"/>
            <color indexed="81"/>
            <rFont val="Tahoma"/>
          </rPr>
          <t xml:space="preserve">
page 17 6.13
It is outlined that Site G will provide 9 car parking spaces, 4 of which are to be
retained as on-street residential permit spaces on Brownfield Street.
TfL note that 20 spaces will be allocated for Site I-1 and I-2. The 20 spaces will
replace on-street parking on Ida Street.</t>
        </r>
      </text>
    </comment>
    <comment ref="CF200" authorId="0">
      <text>
        <r>
          <rPr>
            <b/>
            <sz val="9"/>
            <color indexed="81"/>
            <rFont val="Tahoma"/>
          </rPr>
          <t>Sandra Alota:</t>
        </r>
        <r>
          <rPr>
            <sz val="9"/>
            <color indexed="81"/>
            <rFont val="Tahoma"/>
          </rPr>
          <t xml:space="preserve">
page 18
TfL supports the proposal to provide 147 cycle parking spaces for sites E and G.</t>
        </r>
      </text>
    </comment>
    <comment ref="AP206" authorId="0">
      <text>
        <r>
          <rPr>
            <b/>
            <sz val="9"/>
            <color indexed="81"/>
            <rFont val="Tahoma"/>
          </rPr>
          <t>Sandra Alota:</t>
        </r>
        <r>
          <rPr>
            <sz val="9"/>
            <color indexed="81"/>
            <rFont val="Tahoma"/>
          </rPr>
          <t xml:space="preserve">
page 22 8.30</t>
        </r>
      </text>
    </comment>
    <comment ref="AS206" authorId="0">
      <text>
        <r>
          <rPr>
            <b/>
            <sz val="9"/>
            <color indexed="81"/>
            <rFont val="Tahoma"/>
          </rPr>
          <t>Sandra Alota:</t>
        </r>
        <r>
          <rPr>
            <sz val="9"/>
            <color indexed="81"/>
            <rFont val="Tahoma"/>
          </rPr>
          <t xml:space="preserve">
page 31 8.96 &amp; 8.98</t>
        </r>
      </text>
    </comment>
    <comment ref="AT206" authorId="0">
      <text>
        <r>
          <rPr>
            <b/>
            <sz val="9"/>
            <color indexed="81"/>
            <rFont val="Tahoma"/>
          </rPr>
          <t>Sandra Alota:</t>
        </r>
        <r>
          <rPr>
            <sz val="9"/>
            <color indexed="81"/>
            <rFont val="Tahoma"/>
          </rPr>
          <t xml:space="preserve">
page 31 8.98</t>
        </r>
      </text>
    </comment>
    <comment ref="AW206" authorId="0">
      <text>
        <r>
          <rPr>
            <b/>
            <sz val="9"/>
            <color indexed="81"/>
            <rFont val="Tahoma"/>
          </rPr>
          <t>Sandra Alota:</t>
        </r>
        <r>
          <rPr>
            <sz val="9"/>
            <color indexed="81"/>
            <rFont val="Tahoma"/>
          </rPr>
          <t xml:space="preserve">
page 31 8.98
In respect of the child play space, the total expected child occupancy generated by the
proposal would be approximately 65 children. This should generate a requirement for 650
sq metres of child play space requirements of which 250 sq. metres would be expected to
be provided on site (25 children will be under 5 years old) to comply with policy
requirements.</t>
        </r>
      </text>
    </comment>
    <comment ref="BS206" authorId="0">
      <text>
        <r>
          <rPr>
            <b/>
            <sz val="9"/>
            <color indexed="81"/>
            <rFont val="Tahoma"/>
          </rPr>
          <t>Sandra Alota:</t>
        </r>
        <r>
          <rPr>
            <sz val="9"/>
            <color indexed="81"/>
            <rFont val="Tahoma"/>
          </rPr>
          <t xml:space="preserve">
page 20 8.16</t>
        </r>
      </text>
    </comment>
    <comment ref="CE206" authorId="0">
      <text>
        <r>
          <rPr>
            <b/>
            <sz val="9"/>
            <color indexed="81"/>
            <rFont val="Tahoma"/>
          </rPr>
          <t>Sandra Alota:</t>
        </r>
        <r>
          <rPr>
            <sz val="9"/>
            <color indexed="81"/>
            <rFont val="Tahoma"/>
          </rPr>
          <t xml:space="preserve">
page 34 8.124</t>
        </r>
      </text>
    </comment>
    <comment ref="CF206" authorId="0">
      <text>
        <r>
          <rPr>
            <b/>
            <sz val="9"/>
            <color indexed="81"/>
            <rFont val="Tahoma"/>
          </rPr>
          <t>Sandra Alota:</t>
        </r>
        <r>
          <rPr>
            <sz val="9"/>
            <color indexed="81"/>
            <rFont val="Tahoma"/>
          </rPr>
          <t xml:space="preserve">
page 34 8.128
The scheme provides for 98 cycle parking spaces proposed within two separate locations
(88 in the railway arches within the site adjacent to Repton Street and a further 10 at
Maroon Street end).</t>
        </r>
      </text>
    </comment>
    <comment ref="CJ206" authorId="0">
      <text>
        <r>
          <rPr>
            <b/>
            <sz val="9"/>
            <color indexed="81"/>
            <rFont val="Tahoma"/>
          </rPr>
          <t>Sandra Alota:</t>
        </r>
        <r>
          <rPr>
            <sz val="9"/>
            <color indexed="81"/>
            <rFont val="Tahoma"/>
          </rPr>
          <t xml:space="preserve">
page 4 6.6
No objections as the application site lies outside of the land subject to consultation in respect
of the safeguarding zone.</t>
        </r>
      </text>
    </comment>
    <comment ref="AN207" authorId="0">
      <text>
        <r>
          <rPr>
            <b/>
            <sz val="9"/>
            <color indexed="81"/>
            <rFont val="Tahoma"/>
          </rPr>
          <t>Sandra Alota:</t>
        </r>
        <r>
          <rPr>
            <sz val="9"/>
            <color indexed="81"/>
            <rFont val="Tahoma"/>
          </rPr>
          <t xml:space="preserve">
page 5 4.3</t>
        </r>
      </text>
    </comment>
    <comment ref="AW207" authorId="0">
      <text>
        <r>
          <rPr>
            <b/>
            <sz val="9"/>
            <color indexed="81"/>
            <rFont val="Tahoma"/>
          </rPr>
          <t>Sandra Alota:</t>
        </r>
        <r>
          <rPr>
            <sz val="9"/>
            <color indexed="81"/>
            <rFont val="Tahoma"/>
          </rPr>
          <t xml:space="preserve">
page 26 10.72
For the 0-5 year age group, a total of 420sqm would be required, for 5-10
year olds 350sqm would be required, and for 11-15 year olds 220sqm is
required. As such, a total of 999sqm is required.</t>
        </r>
      </text>
    </comment>
    <comment ref="CE207" authorId="0">
      <text>
        <r>
          <rPr>
            <b/>
            <sz val="9"/>
            <color indexed="81"/>
            <rFont val="Tahoma"/>
          </rPr>
          <t>Sandra Alota:</t>
        </r>
        <r>
          <rPr>
            <sz val="9"/>
            <color indexed="81"/>
            <rFont val="Tahoma"/>
          </rPr>
          <t xml:space="preserve">
page 7 6.8
page 32 10.117</t>
        </r>
      </text>
    </comment>
    <comment ref="CF207" authorId="0">
      <text>
        <r>
          <rPr>
            <b/>
            <sz val="9"/>
            <color indexed="81"/>
            <rFont val="Tahoma"/>
          </rPr>
          <t>Sandra Alota:</t>
        </r>
        <r>
          <rPr>
            <sz val="9"/>
            <color indexed="81"/>
            <rFont val="Tahoma"/>
          </rPr>
          <t xml:space="preserve">
page 7 6.8</t>
        </r>
      </text>
    </comment>
    <comment ref="CI207" authorId="0">
      <text>
        <r>
          <rPr>
            <b/>
            <sz val="9"/>
            <color indexed="81"/>
            <rFont val="Tahoma"/>
          </rPr>
          <t>Sandra Alota:</t>
        </r>
        <r>
          <rPr>
            <sz val="9"/>
            <color indexed="81"/>
            <rFont val="Tahoma"/>
          </rPr>
          <t xml:space="preserve">
page 36 10.136</t>
        </r>
      </text>
    </comment>
    <comment ref="CJ207" authorId="0">
      <text>
        <r>
          <rPr>
            <b/>
            <sz val="9"/>
            <color indexed="81"/>
            <rFont val="Tahoma"/>
          </rPr>
          <t>Sandra Alota:</t>
        </r>
        <r>
          <rPr>
            <sz val="9"/>
            <color indexed="81"/>
            <rFont val="Tahoma"/>
          </rPr>
          <t xml:space="preserve">
page 36 10.137</t>
        </r>
      </text>
    </comment>
    <comment ref="AD213" authorId="0">
      <text>
        <r>
          <rPr>
            <b/>
            <sz val="9"/>
            <color indexed="81"/>
            <rFont val="Tahoma"/>
          </rPr>
          <t>Sandra Alota:</t>
        </r>
        <r>
          <rPr>
            <sz val="9"/>
            <color indexed="81"/>
            <rFont val="Tahoma"/>
          </rPr>
          <t xml:space="preserve">
page 4 4.10 PA/09/00214 plan refused on 1/6/2010 but allowed at appeal on 5/17/2011 there are other appeal/comment on page 5 4.11 to 4.13. Also please check page 11 8.13 This scheme has been linked to the residential development at Newfoundland
(PA/13/1455) which is a private housing scheme located at the north of the Isle of Dogs. Also see page 2 2.3</t>
        </r>
      </text>
    </comment>
    <comment ref="AS213" authorId="0">
      <text>
        <r>
          <rPr>
            <b/>
            <sz val="9"/>
            <color indexed="81"/>
            <rFont val="Tahoma"/>
          </rPr>
          <t>Sandra Alota:</t>
        </r>
        <r>
          <rPr>
            <sz val="9"/>
            <color indexed="81"/>
            <rFont val="Tahoma"/>
          </rPr>
          <t xml:space="preserve">
LBTH yield is not mentioned - other term is used for yield page 16 8.44 This gives a total child yield of 55 based on the Tower Hamlets Population Change and
Growth Model. Please see page 9 6.27 - Officer Response</t>
        </r>
      </text>
    </comment>
    <comment ref="BD213" authorId="0">
      <text>
        <r>
          <rPr>
            <b/>
            <sz val="9"/>
            <color indexed="81"/>
            <rFont val="Tahoma"/>
          </rPr>
          <t>Sandra Alota:</t>
        </r>
        <r>
          <rPr>
            <sz val="9"/>
            <color indexed="81"/>
            <rFont val="Tahoma"/>
          </rPr>
          <t xml:space="preserve">
page 11 8.3 no breakdown </t>
        </r>
      </text>
    </comment>
    <comment ref="BK213" authorId="0">
      <text>
        <r>
          <rPr>
            <b/>
            <sz val="9"/>
            <color indexed="81"/>
            <rFont val="Tahoma"/>
          </rPr>
          <t>Sandra Alota:</t>
        </r>
        <r>
          <rPr>
            <sz val="9"/>
            <color indexed="81"/>
            <rFont val="Tahoma"/>
          </rPr>
          <t xml:space="preserve">
page 4 4.4 &amp; page 8 6.18
</t>
        </r>
      </text>
    </comment>
    <comment ref="BR213" authorId="0">
      <text>
        <r>
          <rPr>
            <b/>
            <sz val="9"/>
            <color indexed="81"/>
            <rFont val="Tahoma"/>
          </rPr>
          <t>Sandra Alota:</t>
        </r>
        <r>
          <rPr>
            <sz val="9"/>
            <color indexed="81"/>
            <rFont val="Tahoma"/>
          </rPr>
          <t xml:space="preserve">
page 11 8.3 no breakdown </t>
        </r>
      </text>
    </comment>
    <comment ref="BS213" authorId="0">
      <text>
        <r>
          <rPr>
            <b/>
            <sz val="9"/>
            <color indexed="81"/>
            <rFont val="Tahoma"/>
          </rPr>
          <t>Sandra Alota:</t>
        </r>
        <r>
          <rPr>
            <sz val="9"/>
            <color indexed="81"/>
            <rFont val="Tahoma"/>
          </rPr>
          <t xml:space="preserve">
page 11 8.11 The application as approved included 17 affordable housing units out of a total of 56 units.
The total number of habitable rooms was 164, 104 would have been private and 60
affordable. This represented 37% by habitable room. Within the affordable tenure 42
habitable rooms were to be for social rent and 18 were for intermediate housing, this results
in a ratio of 70:30 social rent to intermediate.</t>
        </r>
      </text>
    </comment>
    <comment ref="CE213" authorId="0">
      <text>
        <r>
          <rPr>
            <b/>
            <sz val="9"/>
            <color indexed="81"/>
            <rFont val="Tahoma"/>
          </rPr>
          <t>Sandra Alota:</t>
        </r>
        <r>
          <rPr>
            <sz val="9"/>
            <color indexed="81"/>
            <rFont val="Tahoma"/>
          </rPr>
          <t xml:space="preserve">
page 6 6.5 The proposed change does not suggest any
car parking space which is welcomed.</t>
        </r>
      </text>
    </comment>
    <comment ref="CJ213" authorId="0">
      <text>
        <r>
          <rPr>
            <b/>
            <sz val="9"/>
            <color indexed="81"/>
            <rFont val="Tahoma"/>
          </rPr>
          <t>Sandra Alota:</t>
        </r>
        <r>
          <rPr>
            <sz val="9"/>
            <color indexed="81"/>
            <rFont val="Tahoma"/>
          </rPr>
          <t xml:space="preserve">
page 20 8.80 There are not likely to be any CIL payments associated with this development.</t>
        </r>
      </text>
    </comment>
    <comment ref="AP214" authorId="0">
      <text>
        <r>
          <rPr>
            <b/>
            <sz val="9"/>
            <color indexed="81"/>
            <rFont val="Tahoma"/>
          </rPr>
          <t>Sandra Alota:</t>
        </r>
        <r>
          <rPr>
            <sz val="9"/>
            <color indexed="81"/>
            <rFont val="Tahoma"/>
          </rPr>
          <t xml:space="preserve">
page 17 9.10
The approved density of the site (under PA/10/00161) is 794 habitable rooms per hectare,
however this falls to 728 habitable rooms per hectare when taking into account the adjoining
‘Church Green’ landscaped area (as approved under planning permission reference
PA/09/01354) which is to be delivered alongside that scheme.
page 17 9.11
The addition of 12 units takes the density up to 745 habitable rooms per hectares.
</t>
        </r>
      </text>
    </comment>
    <comment ref="AQ214" authorId="0">
      <text>
        <r>
          <rPr>
            <b/>
            <sz val="9"/>
            <color indexed="81"/>
            <rFont val="Tahoma"/>
          </rPr>
          <t>Sandra Alota:</t>
        </r>
        <r>
          <rPr>
            <sz val="9"/>
            <color indexed="81"/>
            <rFont val="Tahoma"/>
          </rPr>
          <t xml:space="preserve">
page 28 9.73</t>
        </r>
      </text>
    </comment>
    <comment ref="AW214" authorId="0">
      <text>
        <r>
          <rPr>
            <b/>
            <sz val="9"/>
            <color indexed="81"/>
            <rFont val="Tahoma"/>
          </rPr>
          <t xml:space="preserve">Sandra Alota:
</t>
        </r>
        <r>
          <rPr>
            <sz val="9"/>
            <color indexed="81"/>
            <rFont val="Tahoma"/>
          </rPr>
          <t>No breakdown
page 27 9.67 &amp; 9.68
Policy DM4 of the Managing Development also requires 328sq.m of child play space for this
development. This is in accordance with the requirements set out in policy 3.6 of the London
Plan (2011) As detailed above in table 5, the application proposes 411sq.m of designated
child play space in this phase which exceeds this requirement. A condition on the design
and specification of the play space/equipment is recommended.</t>
        </r>
      </text>
    </comment>
    <comment ref="CE214" authorId="0">
      <text>
        <r>
          <rPr>
            <b/>
            <sz val="9"/>
            <color indexed="81"/>
            <rFont val="Tahoma"/>
          </rPr>
          <t>Sandra Alota:</t>
        </r>
        <r>
          <rPr>
            <sz val="9"/>
            <color indexed="81"/>
            <rFont val="Tahoma"/>
          </rPr>
          <t xml:space="preserve">
page 28 9.74
The proposal includes a total of 92 car parking spaces in these phases, with a total of 169
across the entire site, 2 of which are allocated for car club usage (located in Block A) and 19
allocated for disabled vehicle users. No additional parking is proposed as a result of the
uplift of 12 units. Also proposed are 36 motorcycle spaces across the site.</t>
        </r>
      </text>
    </comment>
    <comment ref="CF214" authorId="0">
      <text>
        <r>
          <rPr>
            <b/>
            <sz val="9"/>
            <color indexed="81"/>
            <rFont val="Tahoma"/>
          </rPr>
          <t xml:space="preserve">Sandra Alota:
</t>
        </r>
        <r>
          <rPr>
            <sz val="9"/>
            <color indexed="81"/>
            <rFont val="Tahoma"/>
          </rPr>
          <t>page 29 9.79</t>
        </r>
        <r>
          <rPr>
            <b/>
            <sz val="9"/>
            <color indexed="81"/>
            <rFont val="Tahoma"/>
          </rPr>
          <t xml:space="preserve">
</t>
        </r>
        <r>
          <rPr>
            <sz val="9"/>
            <color indexed="81"/>
            <rFont val="Tahoma"/>
          </rPr>
          <t>The 2010 scheme included a total of 756 cycle parking spaces (720 residential and 36
publically accessible).
page29 9.80
This application proposes a reduction in the cycle parking from 720 residential spaces to
711. This has arisen from the need to increase the size of the refuse store on the ground
floor to Block C.</t>
        </r>
      </text>
    </comment>
    <comment ref="CH214" authorId="0">
      <text>
        <r>
          <rPr>
            <b/>
            <sz val="9"/>
            <color indexed="81"/>
            <rFont val="Tahoma"/>
          </rPr>
          <t>Sandra Alota:</t>
        </r>
        <r>
          <rPr>
            <sz val="9"/>
            <color indexed="81"/>
            <rFont val="Tahoma"/>
          </rPr>
          <t xml:space="preserve">
page 15 7.35
Officer comment: Given the maximum height of the buildings is 10 storeys, it is lower than
the 14 storeys agreed in the original application and as a result is not envisaged to disrupt
flight paths to London City Airport.</t>
        </r>
      </text>
    </comment>
    <comment ref="CJ214" authorId="0">
      <text>
        <r>
          <rPr>
            <b/>
            <sz val="9"/>
            <color indexed="81"/>
            <rFont val="Tahoma"/>
          </rPr>
          <t>Sandra Alota:</t>
        </r>
        <r>
          <rPr>
            <sz val="9"/>
            <color indexed="81"/>
            <rFont val="Tahoma"/>
          </rPr>
          <t xml:space="preserve">
page 36 10.5
The likely
CIL payment associated with this development would be in the region of £203,000 and
could impact on the future s.106 obligations.</t>
        </r>
      </text>
    </comment>
    <comment ref="BT215" authorId="0">
      <text>
        <r>
          <rPr>
            <b/>
            <sz val="9"/>
            <color indexed="81"/>
            <rFont val="Tahoma"/>
          </rPr>
          <t>Sandra Alota:</t>
        </r>
        <r>
          <rPr>
            <sz val="9"/>
            <color indexed="81"/>
            <rFont val="Tahoma"/>
          </rPr>
          <t xml:space="preserve">
with amendment on Sept 27 2012 application page 1
The addition of a typical bedroom floor resulting in a further 20
bedrooms but no increase in height, a nominal reduction in
height of 880mm;</t>
        </r>
      </text>
    </comment>
    <comment ref="CE215" authorId="0">
      <text>
        <r>
          <rPr>
            <b/>
            <sz val="9"/>
            <color indexed="81"/>
            <rFont val="Tahoma"/>
          </rPr>
          <t>Sandra Alota:</t>
        </r>
        <r>
          <rPr>
            <sz val="9"/>
            <color indexed="81"/>
            <rFont val="Tahoma"/>
          </rPr>
          <t xml:space="preserve">
Sept 7 2012 page 18 8.33
Given the accessible location of the site, planning permission (PA/12/02099) was granted for
a car-free scheme. It was accepted that the public realm improvements outweighed the loss
of 6 public car parking spaces to the north of the site given the high accessibility of the site
and policy aims with regard to promoting sustainable transport modes.</t>
        </r>
      </text>
    </comment>
    <comment ref="CF215" authorId="0">
      <text>
        <r>
          <rPr>
            <b/>
            <sz val="9"/>
            <color indexed="81"/>
            <rFont val="Tahoma"/>
          </rPr>
          <t>Sandra Alota:</t>
        </r>
        <r>
          <rPr>
            <sz val="9"/>
            <color indexed="81"/>
            <rFont val="Tahoma"/>
          </rPr>
          <t xml:space="preserve">
Sept 7 2012 pdf
page 5 3.4
10) Full details of cycle parking to be submitted</t>
        </r>
      </text>
    </comment>
  </commentList>
</comments>
</file>

<file path=xl/comments2.xml><?xml version="1.0" encoding="utf-8"?>
<comments xmlns="http://schemas.openxmlformats.org/spreadsheetml/2006/main">
  <authors>
    <author>Sandra Alota</author>
  </authors>
  <commentList>
    <comment ref="BB21" authorId="0">
      <text>
        <r>
          <rPr>
            <b/>
            <sz val="9"/>
            <color indexed="81"/>
            <rFont val="Tahoma"/>
          </rPr>
          <t>Sandra Alota:</t>
        </r>
        <r>
          <rPr>
            <sz val="9"/>
            <color indexed="81"/>
            <rFont val="Tahoma"/>
          </rPr>
          <t xml:space="preserve">
6/13/2013 pdf
page 40 9.98</t>
        </r>
      </text>
    </comment>
    <comment ref="BN21" authorId="0">
      <text>
        <r>
          <rPr>
            <b/>
            <sz val="9"/>
            <color indexed="81"/>
            <rFont val="Tahoma"/>
          </rPr>
          <t>Sandra Alota:</t>
        </r>
        <r>
          <rPr>
            <sz val="9"/>
            <color indexed="81"/>
            <rFont val="Tahoma"/>
          </rPr>
          <t xml:space="preserve">
6/13/2013
page 52 9.178</t>
        </r>
      </text>
    </comment>
    <comment ref="BO21" authorId="0">
      <text>
        <r>
          <rPr>
            <b/>
            <sz val="9"/>
            <color indexed="81"/>
            <rFont val="Tahoma"/>
          </rPr>
          <t>Sandra Alota:</t>
        </r>
        <r>
          <rPr>
            <sz val="9"/>
            <color indexed="81"/>
            <rFont val="Tahoma"/>
          </rPr>
          <t xml:space="preserve">
6/13/2013
page 13 7.17</t>
        </r>
      </text>
    </comment>
    <comment ref="BR21" authorId="0">
      <text>
        <r>
          <rPr>
            <b/>
            <sz val="9"/>
            <color indexed="81"/>
            <rFont val="Tahoma"/>
          </rPr>
          <t>Sandra Alota:</t>
        </r>
        <r>
          <rPr>
            <sz val="9"/>
            <color indexed="81"/>
            <rFont val="Tahoma"/>
          </rPr>
          <t xml:space="preserve">
6/13/2013
page 4 3.2</t>
        </r>
      </text>
    </comment>
    <comment ref="BS21" authorId="0">
      <text>
        <r>
          <rPr>
            <b/>
            <sz val="9"/>
            <color indexed="81"/>
            <rFont val="Tahoma"/>
          </rPr>
          <t>Sandra Alota:</t>
        </r>
        <r>
          <rPr>
            <sz val="9"/>
            <color indexed="81"/>
            <rFont val="Tahoma"/>
          </rPr>
          <t xml:space="preserve">
6/13/2013
page 53 9.183</t>
        </r>
      </text>
    </comment>
    <comment ref="AF23" authorId="0">
      <text>
        <r>
          <rPr>
            <b/>
            <sz val="9"/>
            <color indexed="81"/>
            <rFont val="Tahoma"/>
          </rPr>
          <t>Sandra Alota:</t>
        </r>
        <r>
          <rPr>
            <sz val="9"/>
            <color indexed="81"/>
            <rFont val="Tahoma"/>
          </rPr>
          <t xml:space="preserve">
page 57 8.150
The application has been accompanied with a playspace strategy which seeks to
utilise the playspace for doorstop and local playable space for ages 0-11 year
olds. Numerically, this equates to 1805sqm of child play space. This leaves a
shortfall of 195sqm, when measured against the LBTH yields. The applicants
approach is for the younger age groups to be provided on site and the older group
to be accommodated within the surrounding area. Given the quality of the design,
the minor shortfall in space along with the high quality of open space which could
be used for older children this is considered acceptable in this instance.</t>
        </r>
      </text>
    </comment>
    <comment ref="BN23" authorId="0">
      <text>
        <r>
          <rPr>
            <b/>
            <sz val="9"/>
            <color indexed="81"/>
            <rFont val="Tahoma"/>
          </rPr>
          <t>Sandra Alota:</t>
        </r>
        <r>
          <rPr>
            <sz val="9"/>
            <color indexed="81"/>
            <rFont val="Tahoma"/>
          </rPr>
          <t xml:space="preserve">
page 66 8.217 The site has a PTAL of 4and the proposal is for 888 dwellings, the maximum car
parking provision would therefore be 279 spaces based on the local plan
standards. The development proposes 141 spaces (14 of these being disabled).</t>
        </r>
      </text>
    </comment>
    <comment ref="BO23" authorId="0">
      <text>
        <r>
          <rPr>
            <b/>
            <sz val="9"/>
            <color indexed="81"/>
            <rFont val="Tahoma"/>
          </rPr>
          <t>Sandra Alota:</t>
        </r>
        <r>
          <rPr>
            <sz val="9"/>
            <color indexed="81"/>
            <rFont val="Tahoma"/>
          </rPr>
          <t xml:space="preserve">
page 66 8.219
Note: Total is incorrect in comparison with breakdown. 1334+22+66+52+14 = 1488 not 1448
A total of 1,448 cycle spaces are to be provided within the development. This
includes 1,334 Residential cycle parking is provided within the basement, 22
residential spaces for visitors, 66 spaces for retail uses, 52 for office uses and 14
for the crèche use.The cycle spaces for the residential uses are located at
thelower basement, and for staff. This is in accordance with relevant standards.</t>
        </r>
      </text>
    </comment>
    <comment ref="BP23" authorId="0">
      <text>
        <r>
          <rPr>
            <b/>
            <sz val="9"/>
            <color indexed="81"/>
            <rFont val="Tahoma"/>
          </rPr>
          <t>Sandra Alota:</t>
        </r>
        <r>
          <rPr>
            <sz val="9"/>
            <color indexed="81"/>
            <rFont val="Tahoma"/>
          </rPr>
          <t xml:space="preserve">
page 41 8.55
8.55. The proposed scheme at 68 storeys (220m AOD) is 25 metres lower than 1
Canada Square which is the tallest building within the Canary Wharf Cluster.</t>
        </r>
      </text>
    </comment>
    <comment ref="BR23" authorId="0">
      <text>
        <r>
          <rPr>
            <b/>
            <sz val="9"/>
            <color indexed="81"/>
            <rFont val="Tahoma"/>
          </rPr>
          <t>Sandra Alota:</t>
        </r>
        <r>
          <rPr>
            <sz val="9"/>
            <color indexed="81"/>
            <rFont val="Tahoma"/>
          </rPr>
          <t xml:space="preserve">
page 76 8.289</t>
        </r>
      </text>
    </comment>
    <comment ref="BS23" authorId="0">
      <text>
        <r>
          <rPr>
            <b/>
            <sz val="9"/>
            <color indexed="81"/>
            <rFont val="Tahoma"/>
          </rPr>
          <t>Sandra Alota:</t>
        </r>
        <r>
          <rPr>
            <sz val="9"/>
            <color indexed="81"/>
            <rFont val="Tahoma"/>
          </rPr>
          <t xml:space="preserve">
page 77 8.295</t>
        </r>
      </text>
    </comment>
    <comment ref="Z25" authorId="0">
      <text>
        <r>
          <rPr>
            <b/>
            <sz val="9"/>
            <color indexed="81"/>
            <rFont val="Tahoma"/>
          </rPr>
          <t>Sandra Alota:</t>
        </r>
        <r>
          <rPr>
            <sz val="9"/>
            <color indexed="81"/>
            <rFont val="Tahoma"/>
          </rPr>
          <t xml:space="preserve">
March 12 updated report page 2 1.4 &amp; 1.6
1.4 The PTAL rating of the application site, when generated from the tool found on TfL
website generates a PTAL rating of 3. However, this tool does not include the existing
South Dock footbridge as a walking route to the Canary Wharf Jubilee Line Station.
1.6 However, officers from the Councils Transportation and Highways Team and Transport
for London have confirmed in writing that the footbridge should be taken into account
and as such, the PTAL rating should be increased to level 4, as considered within the
committee report.</t>
        </r>
      </text>
    </comment>
    <comment ref="AT25" authorId="0">
      <text>
        <r>
          <rPr>
            <b/>
            <sz val="9"/>
            <color indexed="81"/>
            <rFont val="Tahoma"/>
          </rPr>
          <t>Sandra Alota:</t>
        </r>
        <r>
          <rPr>
            <sz val="9"/>
            <color indexed="81"/>
            <rFont val="Tahoma"/>
          </rPr>
          <t xml:space="preserve">
April 23, 2015 report
page 6 3.5 &amp; 3.7 Total for affordable housing is 176 but when you add the breakdown of 74+35+61 = 170 only</t>
        </r>
      </text>
    </comment>
    <comment ref="BB25" authorId="0">
      <text>
        <r>
          <rPr>
            <b/>
            <sz val="9"/>
            <color indexed="81"/>
            <rFont val="Tahoma"/>
          </rPr>
          <t>Sandra Alota:</t>
        </r>
        <r>
          <rPr>
            <sz val="9"/>
            <color indexed="81"/>
            <rFont val="Tahoma"/>
          </rPr>
          <t xml:space="preserve">
April 23, 2015 report
page 6 3.5 &amp; 3.7 Total for all units should only be 895 but the report shows 901</t>
        </r>
      </text>
    </comment>
    <comment ref="BN25" authorId="0">
      <text>
        <r>
          <rPr>
            <b/>
            <sz val="9"/>
            <color indexed="81"/>
            <rFont val="Tahoma"/>
          </rPr>
          <t>Sandra Alota:</t>
        </r>
        <r>
          <rPr>
            <sz val="9"/>
            <color indexed="81"/>
            <rFont val="Tahoma"/>
          </rPr>
          <t xml:space="preserve">
March 12, 2014 pdf report
page 71 8.222
The site has a PTAL of 4 and the proposal is for 901 dwellings, the
maximum car parking provision would therefore be 289 spaces based on
the local plan standards. The development proposes 147 spaces including
31 disabled parking. The disabled parking represents 21% of the total
parking.</t>
        </r>
      </text>
    </comment>
    <comment ref="BO25" authorId="0">
      <text>
        <r>
          <rPr>
            <b/>
            <sz val="9"/>
            <color indexed="81"/>
            <rFont val="Tahoma"/>
          </rPr>
          <t>Sandra Alota:</t>
        </r>
        <r>
          <rPr>
            <sz val="9"/>
            <color indexed="81"/>
            <rFont val="Tahoma"/>
          </rPr>
          <t xml:space="preserve">
March 12, 2014 pdf report
page 72 8.225
A minimum of cycle spaces are to be provided within the development. This
includes 1,087 Residential cycle parking is provided within the basement, 25
residential spaces for visitors.</t>
        </r>
      </text>
    </comment>
    <comment ref="BP25" authorId="0">
      <text>
        <r>
          <rPr>
            <b/>
            <sz val="9"/>
            <color indexed="81"/>
            <rFont val="Tahoma"/>
          </rPr>
          <t>Sandra Alota:</t>
        </r>
        <r>
          <rPr>
            <sz val="9"/>
            <color indexed="81"/>
            <rFont val="Tahoma"/>
          </rPr>
          <t xml:space="preserve">
March 12, 2014 pdf report
page 43 8.43 Block D is proposed to be the tallest building on site measuring up to
148.4m AOD and consisting of 297 private residential units. The ground
and first floor are to provide the residential entrance and ancillary residential
floor space.</t>
        </r>
      </text>
    </comment>
    <comment ref="BQ25" authorId="0">
      <text>
        <r>
          <rPr>
            <b/>
            <sz val="9"/>
            <color indexed="81"/>
            <rFont val="Tahoma"/>
          </rPr>
          <t>Sandra Alota:</t>
        </r>
        <r>
          <rPr>
            <sz val="9"/>
            <color indexed="81"/>
            <rFont val="Tahoma"/>
          </rPr>
          <t xml:space="preserve">
42 storeys not specifically indicated for the tallest building but taken from the start of April 23, 2015 report page 1 Proposal Full planning permission for the erection of seven mixeduse
buildings—A, B1, B2, B3, C, D and E (a ‘link’ building
situated between block B1 and D)—ranging in height from
8 to 42 storeys.</t>
        </r>
      </text>
    </comment>
    <comment ref="R26" authorId="0">
      <text>
        <r>
          <rPr>
            <b/>
            <sz val="9"/>
            <color indexed="81"/>
            <rFont val="Tahoma"/>
          </rPr>
          <t>Sandra Alota:</t>
        </r>
        <r>
          <rPr>
            <sz val="9"/>
            <color indexed="81"/>
            <rFont val="Tahoma"/>
          </rPr>
          <t xml:space="preserve">
Consultation started: 09 Sep 2015
Consultation ended: 30 Sep 2015
</t>
        </r>
      </text>
    </comment>
    <comment ref="U26" authorId="0">
      <text>
        <r>
          <rPr>
            <b/>
            <sz val="9"/>
            <color indexed="81"/>
            <rFont val="Tahoma"/>
          </rPr>
          <t>Sandra Alota:</t>
        </r>
        <r>
          <rPr>
            <sz val="9"/>
            <color indexed="81"/>
            <rFont val="Tahoma"/>
          </rPr>
          <t xml:space="preserve">
Agent: DP9
100 Pall Mall London SW1Y 5NQ</t>
        </r>
      </text>
    </comment>
    <comment ref="AM26" authorId="0">
      <text>
        <r>
          <rPr>
            <b/>
            <sz val="9"/>
            <color indexed="81"/>
            <rFont val="Tahoma"/>
          </rPr>
          <t>Sandra Alota:</t>
        </r>
        <r>
          <rPr>
            <sz val="9"/>
            <color indexed="81"/>
            <rFont val="Tahoma"/>
          </rPr>
          <t xml:space="preserve">
17. Residential Units - Application Form-1087264.pdf
Flats and maisonettes</t>
        </r>
      </text>
    </comment>
    <comment ref="AT26" authorId="0">
      <text>
        <r>
          <rPr>
            <b/>
            <sz val="9"/>
            <color indexed="81"/>
            <rFont val="Tahoma"/>
          </rPr>
          <t>Sandra Alota:</t>
        </r>
        <r>
          <rPr>
            <sz val="9"/>
            <color indexed="81"/>
            <rFont val="Tahoma"/>
          </rPr>
          <t xml:space="preserve">
17. Residential Units - Application Form-1087264.pdf
Flats and maisonettes</t>
        </r>
      </text>
    </comment>
    <comment ref="BA26" authorId="0">
      <text>
        <r>
          <rPr>
            <b/>
            <sz val="9"/>
            <color indexed="81"/>
            <rFont val="Tahoma"/>
          </rPr>
          <t>Sandra Alota:</t>
        </r>
        <r>
          <rPr>
            <sz val="9"/>
            <color indexed="81"/>
            <rFont val="Tahoma"/>
          </rPr>
          <t xml:space="preserve">
17. Residential Units - Application Form-1087264.pdf
Flats and maisonettes</t>
        </r>
      </text>
    </comment>
    <comment ref="BD26" authorId="0">
      <text>
        <r>
          <rPr>
            <b/>
            <sz val="9"/>
            <color indexed="81"/>
            <rFont val="Tahoma"/>
          </rPr>
          <t>Sandra Alota:</t>
        </r>
        <r>
          <rPr>
            <sz val="9"/>
            <color indexed="81"/>
            <rFont val="Tahoma"/>
          </rPr>
          <t xml:space="preserve">
Report-1087296.pdf Secondary School - approximately 9,867 sqm (1200 pupils)</t>
        </r>
      </text>
    </comment>
    <comment ref="BE26" authorId="0">
      <text>
        <r>
          <rPr>
            <b/>
            <sz val="9"/>
            <color indexed="81"/>
            <rFont val="Tahoma"/>
          </rPr>
          <t>Sandra Alota:</t>
        </r>
        <r>
          <rPr>
            <sz val="9"/>
            <color indexed="81"/>
            <rFont val="Tahoma"/>
          </rPr>
          <t xml:space="preserve">
Report-1087296.pdf 
Restaurants and drinking establishments</t>
        </r>
      </text>
    </comment>
    <comment ref="BF26" authorId="0">
      <text>
        <r>
          <rPr>
            <b/>
            <sz val="9"/>
            <color indexed="81"/>
            <rFont val="Tahoma"/>
          </rPr>
          <t>Sandra Alota:</t>
        </r>
        <r>
          <rPr>
            <sz val="9"/>
            <color indexed="81"/>
            <rFont val="Tahoma"/>
          </rPr>
          <t xml:space="preserve">
Report-1087296.pdf 
Offices and financial and professional services</t>
        </r>
      </text>
    </comment>
    <comment ref="BH26" authorId="0">
      <text>
        <r>
          <rPr>
            <b/>
            <sz val="9"/>
            <color indexed="81"/>
            <rFont val="Tahoma"/>
          </rPr>
          <t>Sandra Alota:</t>
        </r>
        <r>
          <rPr>
            <sz val="9"/>
            <color indexed="81"/>
            <rFont val="Tahoma"/>
          </rPr>
          <t xml:space="preserve">
Report-1087296.pdf 
Retail</t>
        </r>
      </text>
    </comment>
    <comment ref="BJ26" authorId="0">
      <text>
        <r>
          <rPr>
            <b/>
            <sz val="9"/>
            <color indexed="81"/>
            <rFont val="Tahoma"/>
          </rPr>
          <t>Sandra Alota:</t>
        </r>
        <r>
          <rPr>
            <sz val="9"/>
            <color indexed="81"/>
            <rFont val="Tahoma"/>
          </rPr>
          <t xml:space="preserve">
Report-1087296.pdf 
Community Uses (inc. Creche &amp; Healthcare)</t>
        </r>
      </text>
    </comment>
    <comment ref="BN26" authorId="0">
      <text>
        <r>
          <rPr>
            <b/>
            <sz val="9"/>
            <color indexed="81"/>
            <rFont val="Tahoma"/>
          </rPr>
          <t>Sandra Alota:</t>
        </r>
        <r>
          <rPr>
            <sz val="9"/>
            <color indexed="81"/>
            <rFont val="Tahoma"/>
          </rPr>
          <t xml:space="preserve">
Total existing 192
Total proposed (including spaces retained) 
cars 328
Disability space 76
cycle spaces 1420</t>
        </r>
      </text>
    </comment>
    <comment ref="AC27" authorId="0">
      <text>
        <r>
          <rPr>
            <b/>
            <sz val="9"/>
            <color indexed="81"/>
            <rFont val="Tahoma"/>
          </rPr>
          <t>Sandra Alota:</t>
        </r>
        <r>
          <rPr>
            <sz val="9"/>
            <color indexed="81"/>
            <rFont val="Tahoma"/>
          </rPr>
          <t xml:space="preserve">
page 53 13.66 under 5 years</t>
        </r>
      </text>
    </comment>
    <comment ref="AD27" authorId="0">
      <text>
        <r>
          <rPr>
            <b/>
            <sz val="9"/>
            <color indexed="81"/>
            <rFont val="Tahoma"/>
          </rPr>
          <t>Sandra Alota:</t>
        </r>
        <r>
          <rPr>
            <sz val="9"/>
            <color indexed="81"/>
            <rFont val="Tahoma"/>
          </rPr>
          <t xml:space="preserve">
page 53 13.66 5-11 years old</t>
        </r>
      </text>
    </comment>
    <comment ref="AE27" authorId="0">
      <text>
        <r>
          <rPr>
            <b/>
            <sz val="9"/>
            <color indexed="81"/>
            <rFont val="Tahoma"/>
          </rPr>
          <t>Sandra Alota:</t>
        </r>
        <r>
          <rPr>
            <sz val="9"/>
            <color indexed="81"/>
            <rFont val="Tahoma"/>
          </rPr>
          <t xml:space="preserve">
page 53 13.66 12-18 years old</t>
        </r>
      </text>
    </comment>
    <comment ref="AF27" authorId="0">
      <text>
        <r>
          <rPr>
            <b/>
            <sz val="9"/>
            <color indexed="81"/>
            <rFont val="Tahoma"/>
          </rPr>
          <t>Sandra Alota:</t>
        </r>
        <r>
          <rPr>
            <sz val="9"/>
            <color indexed="81"/>
            <rFont val="Tahoma"/>
          </rPr>
          <t xml:space="preserve">
please check page 53 13.67 The applicant has sought to provide a balance of publicly accessible
space, communal amenity space and play space. The result is that
the proposals would make on-site provision to meet all of the play
space requirements for 0-5 year olds and 50% of space required for 5-
11 year olds, but that no on-site play space for 12-18 year olds. The shortfalls in on-site provision for 5 to 18 year
olds is considered acceptable subject to securing financial
contributions towards enhancing play facilities in nearby open spaces.</t>
        </r>
      </text>
    </comment>
    <comment ref="BO27" authorId="0">
      <text>
        <r>
          <rPr>
            <b/>
            <sz val="9"/>
            <color indexed="81"/>
            <rFont val="Tahoma"/>
          </rPr>
          <t>Sandra Alota:</t>
        </r>
        <r>
          <rPr>
            <sz val="9"/>
            <color indexed="81"/>
            <rFont val="Tahoma"/>
          </rPr>
          <t xml:space="preserve">
short of 9 spaces for 817 requirement. Please see page 85 17.28 </t>
        </r>
      </text>
    </comment>
    <comment ref="BR27" authorId="0">
      <text>
        <r>
          <rPr>
            <b/>
            <sz val="9"/>
            <color indexed="81"/>
            <rFont val="Tahoma"/>
          </rPr>
          <t>Sandra Alota:</t>
        </r>
        <r>
          <rPr>
            <sz val="9"/>
            <color indexed="81"/>
            <rFont val="Tahoma"/>
          </rPr>
          <t xml:space="preserve">
page 5</t>
        </r>
      </text>
    </comment>
    <comment ref="AF28" authorId="0">
      <text>
        <r>
          <rPr>
            <b/>
            <sz val="9"/>
            <color indexed="81"/>
            <rFont val="Tahoma"/>
          </rPr>
          <t>Sandra Alota:</t>
        </r>
        <r>
          <rPr>
            <sz val="9"/>
            <color indexed="81"/>
            <rFont val="Tahoma"/>
          </rPr>
          <t xml:space="preserve">
no specific details 
page 23 8.61
page 24 8.65 The revised ES advises that the child yield for the development would be 168 children.
Applying the GLA SPG guidelines of 10sqm of play space per child, a total of 1680qm
would be required on site. 
page 24 8.66 The scheme is proposing a total area of 1850sqm for informal and formal child play space.</t>
        </r>
      </text>
    </comment>
    <comment ref="BO28" authorId="0">
      <text>
        <r>
          <rPr>
            <b/>
            <sz val="9"/>
            <color indexed="81"/>
            <rFont val="Tahoma"/>
          </rPr>
          <t>Sandra Alota:</t>
        </r>
        <r>
          <rPr>
            <sz val="9"/>
            <color indexed="81"/>
            <rFont val="Tahoma"/>
          </rPr>
          <t xml:space="preserve">
page 5 3.3 no.6 Parking – maximum of 150 cars (including 15 disabled spaces) and a minimum of 546
residential and 32 non-residential bicycle parking spaces.
Page 30 8.123</t>
        </r>
      </text>
    </comment>
    <comment ref="BP28" authorId="0">
      <text>
        <r>
          <rPr>
            <b/>
            <sz val="9"/>
            <color indexed="81"/>
            <rFont val="Tahoma"/>
          </rPr>
          <t>Sandra Alota:</t>
        </r>
        <r>
          <rPr>
            <sz val="9"/>
            <color indexed="81"/>
            <rFont val="Tahoma"/>
          </rPr>
          <t xml:space="preserve">
Discrepancy in the highest storeys = 32 storeys as per page 1 but 31 storeys as per page 20 8.42</t>
        </r>
      </text>
    </comment>
    <comment ref="BQ28" authorId="0">
      <text>
        <r>
          <rPr>
            <b/>
            <sz val="9"/>
            <color indexed="81"/>
            <rFont val="Tahoma"/>
          </rPr>
          <t>Sandra Alota:</t>
        </r>
        <r>
          <rPr>
            <sz val="9"/>
            <color indexed="81"/>
            <rFont val="Tahoma"/>
          </rPr>
          <t xml:space="preserve">
page 20 8.42 The highest part of the scheme is located at
the northern end of the site and drops across the site to the south, ranging from 31 to 12
storeys with a maximum height of 99.5m AOD. </t>
        </r>
      </text>
    </comment>
    <comment ref="BR28" authorId="0">
      <text>
        <r>
          <rPr>
            <b/>
            <sz val="9"/>
            <color indexed="81"/>
            <rFont val="Tahoma"/>
          </rPr>
          <t>Sandra Alota:</t>
        </r>
        <r>
          <rPr>
            <sz val="9"/>
            <color indexed="81"/>
            <rFont val="Tahoma"/>
          </rPr>
          <t xml:space="preserve">
Total not indicated
page 5 3.1</t>
        </r>
      </text>
    </comment>
    <comment ref="Q31" authorId="0">
      <text>
        <r>
          <rPr>
            <b/>
            <sz val="9"/>
            <color indexed="81"/>
            <rFont val="Tahoma"/>
          </rPr>
          <t>Sandra Alota:</t>
        </r>
        <r>
          <rPr>
            <sz val="9"/>
            <color indexed="81"/>
            <rFont val="Tahoma"/>
          </rPr>
          <t xml:space="preserve">
page 7 5.1 An application (PA/08/00598) for the following development was approved on 19th November
2008. This application has not been pursued as it was found by the applicant to be commercially
unviable.</t>
        </r>
      </text>
    </comment>
    <comment ref="V31"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AF31" authorId="0">
      <text>
        <r>
          <rPr>
            <b/>
            <sz val="9"/>
            <color indexed="81"/>
            <rFont val="Tahoma"/>
          </rPr>
          <t>Sandra Alota:</t>
        </r>
        <r>
          <rPr>
            <sz val="9"/>
            <color indexed="81"/>
            <rFont val="Tahoma"/>
          </rPr>
          <t xml:space="preserve">
no breakdown for children based only on play space area sq meter
page 56 9.187 Please see page 37 9.78</t>
        </r>
      </text>
    </comment>
    <comment ref="AM31" authorId="0">
      <text>
        <r>
          <rPr>
            <b/>
            <sz val="9"/>
            <color indexed="81"/>
            <rFont val="Tahoma"/>
          </rPr>
          <t>Sandra Alota:</t>
        </r>
        <r>
          <rPr>
            <sz val="9"/>
            <color indexed="81"/>
            <rFont val="Tahoma"/>
          </rPr>
          <t xml:space="preserve">
page 6 4.5 &amp; 4.8
</t>
        </r>
      </text>
    </comment>
    <comment ref="BN31" authorId="0">
      <text>
        <r>
          <rPr>
            <b/>
            <sz val="9"/>
            <color indexed="81"/>
            <rFont val="Tahoma"/>
          </rPr>
          <t>Sandra Alota:</t>
        </r>
        <r>
          <rPr>
            <sz val="9"/>
            <color indexed="81"/>
            <rFont val="Tahoma"/>
          </rPr>
          <t xml:space="preserve">
page 6 4.5 A triple basement level with 71 car parking spaces, 615 cycle parking spaces and 10
motorcycle spaces.</t>
        </r>
      </text>
    </comment>
    <comment ref="C32" authorId="0">
      <text>
        <r>
          <rPr>
            <b/>
            <sz val="9"/>
            <color indexed="81"/>
            <rFont val="Tahoma"/>
          </rPr>
          <t>Sandra Alota:</t>
        </r>
        <r>
          <rPr>
            <sz val="9"/>
            <color indexed="81"/>
            <rFont val="Tahoma"/>
          </rPr>
          <t xml:space="preserve">
page 4 i) Conversion works to Lovegrove Walk properties in order to provide 115 habitable
room rooms of social rented affordable housing &amp; j) Requirement to deliver the equivalent amount or greater of social rent affordable
housing delivered at Lovegrove Walk within the Millwall, Blackwall or Cubitt Town Ward
prior to the Lovegrove Walk units being unavailable for affordable housing due to being
required for the Woodwharf development. Please see page 17 7.58 &amp; page 38 9.89</t>
        </r>
      </text>
    </comment>
    <comment ref="T32" authorId="0">
      <text>
        <r>
          <rPr>
            <b/>
            <sz val="9"/>
            <color indexed="81"/>
            <rFont val="Tahoma"/>
          </rPr>
          <t>Sandra Alota:</t>
        </r>
        <r>
          <rPr>
            <sz val="9"/>
            <color indexed="81"/>
            <rFont val="Tahoma"/>
          </rPr>
          <t xml:space="preserve">
page 38 9.87 The three sites are 307 Burdett Road, 83 Barchester Street and Lovegrove Walk (all E14
postcodes).</t>
        </r>
      </text>
    </comment>
    <comment ref="V32"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AT32" authorId="0">
      <text>
        <r>
          <rPr>
            <b/>
            <sz val="9"/>
            <color indexed="81"/>
            <rFont val="Tahoma"/>
          </rPr>
          <t>Sandra Alota:</t>
        </r>
        <r>
          <rPr>
            <sz val="9"/>
            <color indexed="81"/>
            <rFont val="Tahoma"/>
          </rPr>
          <t xml:space="preserve">
page 41 9.114 Lovegrove Walk: 115 habitable rooms / 20 units in a mix of 6 x 3 bed, 13 x 4 bed and 1 x
5 bed. These units would be available for a minimum period of five years as they form part
of the Wood Wharf redevelopment proposals. &amp; page 42 9.117 These houses will have conversion works to allow the garages to be used as habitable
rooms to create four bedroom units, others will remain as three bed units. There are also a
number of flats within Lovegrove Walk which will be given over to affordable housing,
these are a mix of 1 x 5 bed, 6 x 4 beds and 6 x 3 beds. Please also see page 51 9.156 &amp; page 53 9.168 - Incorrect computation of combined mix it should be 62 not 52 family units</t>
        </r>
      </text>
    </comment>
    <comment ref="C33" authorId="0">
      <text>
        <r>
          <rPr>
            <b/>
            <sz val="9"/>
            <color indexed="81"/>
            <rFont val="Tahoma"/>
          </rPr>
          <t>Sandra Alota:</t>
        </r>
        <r>
          <rPr>
            <sz val="9"/>
            <color indexed="81"/>
            <rFont val="Tahoma"/>
          </rPr>
          <t xml:space="preserve">
page 4 k) Obtain grant of planning permission for Burdett Road in order to secure 175
habitable rooms of social rented housing prior to Newfoundland works go beyond secant
piling. Pls also see page 4 n)</t>
        </r>
      </text>
    </comment>
    <comment ref="T33" authorId="0">
      <text>
        <r>
          <rPr>
            <b/>
            <sz val="9"/>
            <color indexed="81"/>
            <rFont val="Tahoma"/>
          </rPr>
          <t>Sandra Alota:</t>
        </r>
        <r>
          <rPr>
            <sz val="9"/>
            <color indexed="81"/>
            <rFont val="Tahoma"/>
          </rPr>
          <t xml:space="preserve">
page 38 9.87 The three sites are 307 Burdett Road, 83 Barchester Street and Lovegrove Walk (all E14
postcodes).</t>
        </r>
      </text>
    </comment>
    <comment ref="V33"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AT33" authorId="0">
      <text>
        <r>
          <rPr>
            <b/>
            <sz val="9"/>
            <color indexed="81"/>
            <rFont val="Tahoma"/>
          </rPr>
          <t>Sandra Alota:</t>
        </r>
        <r>
          <rPr>
            <sz val="9"/>
            <color indexed="81"/>
            <rFont val="Tahoma"/>
          </rPr>
          <t xml:space="preserve">
page 18 7.61 The offsite 100% affordable housing site at Burdett Road is providing 76% family sized units
against our policy target of 45% family units overall on one site. There are 5 x 1 beds, 5 x 2
beds, 30 x 3 beds and 2 x 4 beds, 42 units in total. This development will also deliver one 3 bed
and one 1 bed wheelchair accessible units which is welcomed and the Lettings Team have
confirmed that there is a need for these units in this location. Please also see page 43 9.120 &amp; page 53 9.168 - Incorrect computation of combined mix it should be 62 not 52 family units</t>
        </r>
      </text>
    </comment>
    <comment ref="C34" authorId="0">
      <text>
        <r>
          <rPr>
            <b/>
            <sz val="9"/>
            <color indexed="81"/>
            <rFont val="Tahoma"/>
          </rPr>
          <t>Sandra Alota:</t>
        </r>
        <r>
          <rPr>
            <sz val="9"/>
            <color indexed="81"/>
            <rFont val="Tahoma"/>
          </rPr>
          <t xml:space="preserve">
page 4 m) Planning application to be submitted to the Council for 83 Barchester Street to
secure a minimum of 352 habitable rooms for social rent affordable housing within 6
months of the grant of planning permission for Newfoundland. Not to occupy more than
90% of Newfoundland until all affordable housing across all the donor sites are
completed ready for occupation. Pls also see page 4 n) &amp; page 38 9.88</t>
        </r>
      </text>
    </comment>
    <comment ref="T34" authorId="0">
      <text>
        <r>
          <rPr>
            <b/>
            <sz val="9"/>
            <color indexed="81"/>
            <rFont val="Tahoma"/>
          </rPr>
          <t>Sandra Alota:</t>
        </r>
        <r>
          <rPr>
            <sz val="9"/>
            <color indexed="81"/>
            <rFont val="Tahoma"/>
          </rPr>
          <t xml:space="preserve">
page 38 9.87 The three sites are 307 Burdett Road, 83 Barchester Street and Lovegrove Walk (all E14
postcodes).</t>
        </r>
      </text>
    </comment>
    <comment ref="V34" authorId="0">
      <text>
        <r>
          <rPr>
            <b/>
            <sz val="9"/>
            <color indexed="81"/>
            <rFont val="Tahoma"/>
          </rPr>
          <t>Sandra Alota:</t>
        </r>
        <r>
          <rPr>
            <sz val="9"/>
            <color indexed="81"/>
            <rFont val="Tahoma"/>
          </rPr>
          <t xml:space="preserve">
page 1 Canary Wharf Limited, National Grid, Canal and River
Trust, London Underground Limited, Hibernia Limited,
CWCB Investments, Morgan Stanley UK Group, Tube
2
Lines Ltd, Gort Ltd.</t>
        </r>
      </text>
    </comment>
    <comment ref="AT34" authorId="0">
      <text>
        <r>
          <rPr>
            <b/>
            <sz val="9"/>
            <color indexed="81"/>
            <rFont val="Tahoma"/>
          </rPr>
          <t>Sandra Alota:</t>
        </r>
        <r>
          <rPr>
            <sz val="9"/>
            <color indexed="81"/>
            <rFont val="Tahoma"/>
          </rPr>
          <t xml:space="preserve">
no specific breakdown page 50 9.149 This site is within the East India and Lansbury Ward and is approximately 1.5km north east
of the application site. As discussed above, it is anticipated that this site can reasonably be
expected to accommodate up to 352 habitable rooms, subject to the submission of a
detailed planning application.</t>
        </r>
      </text>
    </comment>
    <comment ref="Q35" authorId="0">
      <text>
        <r>
          <rPr>
            <b/>
            <sz val="9"/>
            <color indexed="81"/>
            <rFont val="Tahoma"/>
          </rPr>
          <t>Sandra Alota:</t>
        </r>
        <r>
          <rPr>
            <sz val="9"/>
            <color indexed="81"/>
            <rFont val="Tahoma"/>
          </rPr>
          <t xml:space="preserve">
there is a stage 1 letter and report on  6/25/2014 as per 8/18/2014 letter to George Kyriacou</t>
        </r>
      </text>
    </comment>
    <comment ref="BN35" authorId="0">
      <text>
        <r>
          <rPr>
            <b/>
            <sz val="9"/>
            <color indexed="81"/>
            <rFont val="Tahoma"/>
          </rPr>
          <t>Sandra Alota:</t>
        </r>
        <r>
          <rPr>
            <sz val="9"/>
            <color indexed="81"/>
            <rFont val="Tahoma"/>
          </rPr>
          <t xml:space="preserve">
page 71 16.6</t>
        </r>
      </text>
    </comment>
    <comment ref="BO35" authorId="0">
      <text>
        <r>
          <rPr>
            <b/>
            <sz val="9"/>
            <color indexed="81"/>
            <rFont val="Tahoma"/>
          </rPr>
          <t>Sandra Alota:</t>
        </r>
        <r>
          <rPr>
            <sz val="9"/>
            <color indexed="81"/>
            <rFont val="Tahoma"/>
          </rPr>
          <t xml:space="preserve">
page 71 16.8 &amp; 16.9
page 71 16.8 Residential cycle parking is provided on the first and second floor and
meets the minimum standards set out in the Local Plan. It is
proposed that these will be a mixture of Sheffield standards (55) with
the remaining cycle parking (542) provided by double stackers. The
proportion of cycle parking provided in double stackers is
disappointing as they can be harder to use and consequently deter
cycle use.
page 71 16.9 13 residential visitor cycle parking spaces and 3 parking spaces for
the commercial uses are provided by way of Sheffield stands. This is
in accordance with relevant standards. The applicant has proposed
two locations for this parking and were the application to be approved
the final location could be controlled by way of condition.</t>
        </r>
      </text>
    </comment>
    <comment ref="BR35" authorId="0">
      <text>
        <r>
          <rPr>
            <b/>
            <sz val="9"/>
            <color indexed="81"/>
            <rFont val="Tahoma"/>
          </rPr>
          <t>Sandra Alota:</t>
        </r>
        <r>
          <rPr>
            <sz val="9"/>
            <color indexed="81"/>
            <rFont val="Tahoma"/>
          </rPr>
          <t xml:space="preserve">
8/25/2014 pdf report page 82 25.13</t>
        </r>
      </text>
    </comment>
    <comment ref="BS35" authorId="0">
      <text>
        <r>
          <rPr>
            <b/>
            <sz val="9"/>
            <color indexed="81"/>
            <rFont val="Tahoma"/>
          </rPr>
          <t>Sandra Alota:</t>
        </r>
        <r>
          <rPr>
            <sz val="9"/>
            <color indexed="81"/>
            <rFont val="Tahoma"/>
          </rPr>
          <t xml:space="preserve">
8/25/2014 pdf report page 83 26.6</t>
        </r>
      </text>
    </comment>
    <comment ref="Q37" authorId="0">
      <text>
        <r>
          <rPr>
            <b/>
            <sz val="9"/>
            <color indexed="81"/>
            <rFont val="Tahoma"/>
          </rPr>
          <t>Sandra Alota:</t>
        </r>
        <r>
          <rPr>
            <sz val="9"/>
            <color indexed="81"/>
            <rFont val="Tahoma"/>
          </rPr>
          <t xml:space="preserve">
PA/09/01220 3/16/2010
Also: 12/15/2009 = not accepted</t>
        </r>
      </text>
    </comment>
    <comment ref="V37" authorId="0">
      <text>
        <r>
          <rPr>
            <b/>
            <sz val="9"/>
            <color indexed="81"/>
            <rFont val="Tahoma"/>
          </rPr>
          <t>Sandra Alota:</t>
        </r>
        <r>
          <rPr>
            <sz val="9"/>
            <color indexed="81"/>
            <rFont val="Tahoma"/>
          </rPr>
          <t xml:space="preserve">
page 2
Ownership
• Mr Kamruz, BAK Investments Ltd;
• London Borough of Tower Hamlets (area of highway where taxi
and coach drop-off is proposed is LBTH controlled); and
• Smith &amp; Williamson, Trust Corporation.</t>
        </r>
      </text>
    </comment>
    <comment ref="BI37" authorId="0">
      <text>
        <r>
          <rPr>
            <b/>
            <sz val="9"/>
            <color indexed="81"/>
            <rFont val="Tahoma"/>
          </rPr>
          <t>Sandra Alota:</t>
        </r>
        <r>
          <rPr>
            <sz val="9"/>
            <color indexed="81"/>
            <rFont val="Tahoma"/>
          </rPr>
          <t xml:space="preserve">
page 6 4.2
8 service offices</t>
        </r>
      </text>
    </comment>
    <comment ref="BJ37" authorId="0">
      <text>
        <r>
          <rPr>
            <b/>
            <sz val="9"/>
            <color indexed="81"/>
            <rFont val="Tahoma"/>
          </rPr>
          <t>Sandra Alota:</t>
        </r>
        <r>
          <rPr>
            <sz val="9"/>
            <color indexed="81"/>
            <rFont val="Tahoma"/>
          </rPr>
          <t xml:space="preserve">
page 6 4.2 conference facilities</t>
        </r>
      </text>
    </comment>
    <comment ref="BL37" authorId="0">
      <text>
        <r>
          <rPr>
            <b/>
            <sz val="9"/>
            <color indexed="81"/>
            <rFont val="Tahoma"/>
          </rPr>
          <t>Sandra Alota:</t>
        </r>
        <r>
          <rPr>
            <sz val="9"/>
            <color indexed="81"/>
            <rFont val="Tahoma"/>
          </rPr>
          <t xml:space="preserve">
page 6 4.2 Swimming pool, gym and spa</t>
        </r>
      </text>
    </comment>
    <comment ref="BN37" authorId="0">
      <text>
        <r>
          <rPr>
            <b/>
            <sz val="9"/>
            <color indexed="81"/>
            <rFont val="Tahoma"/>
          </rPr>
          <t>Sandra Alota:</t>
        </r>
        <r>
          <rPr>
            <sz val="9"/>
            <color indexed="81"/>
            <rFont val="Tahoma"/>
          </rPr>
          <t xml:space="preserve">
page 27 8.90
car free development (only one disabled space is provided)</t>
        </r>
      </text>
    </comment>
    <comment ref="AA38" authorId="0">
      <text>
        <r>
          <rPr>
            <b/>
            <sz val="9"/>
            <color indexed="81"/>
            <rFont val="Tahoma"/>
          </rPr>
          <t>Sandra Alota:</t>
        </r>
        <r>
          <rPr>
            <sz val="9"/>
            <color indexed="81"/>
            <rFont val="Tahoma"/>
          </rPr>
          <t xml:space="preserve">
GLA yield-Not available</t>
        </r>
      </text>
    </comment>
    <comment ref="AC38" authorId="0">
      <text>
        <r>
          <rPr>
            <b/>
            <sz val="9"/>
            <color indexed="81"/>
            <rFont val="Tahoma"/>
          </rPr>
          <t>Sandra Alota:</t>
        </r>
        <r>
          <rPr>
            <sz val="9"/>
            <color indexed="81"/>
            <rFont val="Tahoma"/>
          </rPr>
          <t xml:space="preserve">
0-4 years</t>
        </r>
      </text>
    </comment>
    <comment ref="AD38" authorId="0">
      <text>
        <r>
          <rPr>
            <b/>
            <sz val="9"/>
            <color indexed="81"/>
            <rFont val="Tahoma"/>
          </rPr>
          <t>Sandra Alota:</t>
        </r>
        <r>
          <rPr>
            <sz val="9"/>
            <color indexed="81"/>
            <rFont val="Tahoma"/>
          </rPr>
          <t xml:space="preserve">
5-11 years</t>
        </r>
      </text>
    </comment>
    <comment ref="AE38" authorId="0">
      <text>
        <r>
          <rPr>
            <b/>
            <sz val="9"/>
            <color indexed="81"/>
            <rFont val="Tahoma"/>
          </rPr>
          <t>Sandra Alota:</t>
        </r>
        <r>
          <rPr>
            <sz val="9"/>
            <color indexed="81"/>
            <rFont val="Tahoma"/>
          </rPr>
          <t xml:space="preserve">
Over 12 years</t>
        </r>
      </text>
    </comment>
    <comment ref="AF38" authorId="0">
      <text>
        <r>
          <rPr>
            <b/>
            <sz val="9"/>
            <color indexed="81"/>
            <rFont val="Tahoma"/>
          </rPr>
          <t>Sandra Alota:</t>
        </r>
        <r>
          <rPr>
            <sz val="9"/>
            <color indexed="81"/>
            <rFont val="Tahoma"/>
          </rPr>
          <t xml:space="preserve">
p.81 15.32 The development therefore proposes 1472sqm of play space for 0-4 and 5-
11 year olds (including the school playground and internal play space) and a
financial contribution can be secured for the over 12 year olds play space.</t>
        </r>
      </text>
    </comment>
    <comment ref="BN38" authorId="0">
      <text>
        <r>
          <rPr>
            <b/>
            <sz val="9"/>
            <color indexed="81"/>
            <rFont val="Tahoma"/>
          </rPr>
          <t>Sandra Alota:</t>
        </r>
        <r>
          <rPr>
            <sz val="9"/>
            <color indexed="81"/>
            <rFont val="Tahoma"/>
          </rPr>
          <t xml:space="preserve">
page 94 18.6 The latest revision includes the creation of 92 car parking spaces within the
basements of the development. The western tower would provide 9 spaces.
The eastern tower would provide 83 car parking spaces.
Page 95 18.9 The proposed eastern building comprising of three basement levels would
be served by only one lift and vehicle access point. The requirement for a
single lift and access point to serve 83 car parking spaces would have a
severe impact on the servicing
arrangements of the building. The
resulting level of usage of the lift and
its requirement to travel further now
across four floors also would increase
waiting times and unacceptably lead to
vehicles queuing on the public highway
page 95 18.12 The previous iteration of the proposal
provided 15 accessible spaces only which was considered acceptable by
LBTH Highways and TfL. However, no justification or rationale was
submitted to the LPA explaining the increase of the on-site car parking
provision from the original 27 to 92 spaces and no assessment has been
made regarding the resulting impact on the local highway network with
regards additional trip generation.
page 95 18.13 It is therefore considered that there is insufficient information to confirm
whether the development proposals and associated trip generation can be
accommodated on the surrounding highway network.</t>
        </r>
      </text>
    </comment>
    <comment ref="BP38" authorId="0">
      <text>
        <r>
          <rPr>
            <b/>
            <sz val="9"/>
            <color indexed="81"/>
            <rFont val="Tahoma"/>
          </rPr>
          <t>Sandra Alota:</t>
        </r>
        <r>
          <rPr>
            <sz val="9"/>
            <color indexed="81"/>
            <rFont val="Tahoma"/>
          </rPr>
          <t xml:space="preserve">
page 6 4.1
page 25 6.63</t>
        </r>
      </text>
    </comment>
    <comment ref="BQ38" authorId="0">
      <text>
        <r>
          <rPr>
            <b/>
            <sz val="9"/>
            <color indexed="81"/>
            <rFont val="Tahoma"/>
          </rPr>
          <t>Sandra Alota:</t>
        </r>
        <r>
          <rPr>
            <sz val="9"/>
            <color indexed="81"/>
            <rFont val="Tahoma"/>
          </rPr>
          <t xml:space="preserve">
page 6 4.1
page 25 6.63</t>
        </r>
      </text>
    </comment>
    <comment ref="BS38" authorId="0">
      <text>
        <r>
          <rPr>
            <b/>
            <sz val="9"/>
            <color indexed="81"/>
            <rFont val="Tahoma"/>
          </rPr>
          <t>Sandra Alota:</t>
        </r>
        <r>
          <rPr>
            <sz val="9"/>
            <color indexed="81"/>
            <rFont val="Tahoma"/>
          </rPr>
          <t xml:space="preserve">
page 107 19.68
As regards Community Infrastructure Levy considerations, Members are
reminded that that the London mayoral CIL became operational from 1 April
2012 and would be payable on this scheme if it were approved. The
approximate CIL contribution is estimated to be around £2,385,576.88,</t>
        </r>
      </text>
    </comment>
    <comment ref="Q42" authorId="0">
      <text>
        <r>
          <rPr>
            <b/>
            <sz val="9"/>
            <color indexed="81"/>
            <rFont val="Tahoma"/>
          </rPr>
          <t>Sandra Alota:</t>
        </r>
        <r>
          <rPr>
            <sz val="9"/>
            <color indexed="81"/>
            <rFont val="Tahoma"/>
          </rPr>
          <t xml:space="preserve">
Date of Application on pdf is January 19, 2011 but Date of Meeting is January 19m 2012</t>
        </r>
      </text>
    </comment>
    <comment ref="Y42" authorId="0">
      <text>
        <r>
          <rPr>
            <b/>
            <sz val="9"/>
            <color indexed="81"/>
            <rFont val="Tahoma"/>
          </rPr>
          <t>Sandra Alota:</t>
        </r>
        <r>
          <rPr>
            <sz val="9"/>
            <color indexed="81"/>
            <rFont val="Tahoma"/>
          </rPr>
          <t xml:space="preserve">
page 16 8.15
For urban sites with a PTAL range of 2, both the IPG and London Plan
density matrix suggest a density of between 200-450 habitable rooms per hectare. The
proposed density would be 904 habitable rooms per hectare which is above the density
guidance range of the London Plan and IPG. However, the intent of the London Plan and
Council’s IPG is to maximise the highest possible intensity of use compatible with local
context, good design principles and public transport capacity.</t>
        </r>
      </text>
    </comment>
    <comment ref="AF42" authorId="0">
      <text>
        <r>
          <rPr>
            <b/>
            <sz val="9"/>
            <color indexed="81"/>
            <rFont val="Tahoma"/>
          </rPr>
          <t>Sandra Alota:</t>
        </r>
        <r>
          <rPr>
            <sz val="9"/>
            <color indexed="81"/>
            <rFont val="Tahoma"/>
          </rPr>
          <t xml:space="preserve">
no breakdown for number of children. Only given is the total of 51
page 19 8.44</t>
        </r>
      </text>
    </comment>
    <comment ref="BS42" authorId="0">
      <text>
        <r>
          <rPr>
            <b/>
            <sz val="9"/>
            <color indexed="81"/>
            <rFont val="Tahoma"/>
          </rPr>
          <t>Sandra Alota:</t>
        </r>
        <r>
          <rPr>
            <sz val="9"/>
            <color indexed="81"/>
            <rFont val="Tahoma"/>
          </rPr>
          <t xml:space="preserve">
page 11 6.15
No individual response received, however Crossrail is represented in TfL response.
Page 13 6.23
The existing floor space generates a theoretical charge higher than that which would
be required by the proposed development. In such circumstances, no contribution
towards Crossrail is required.</t>
        </r>
      </text>
    </comment>
    <comment ref="N45" authorId="0">
      <text>
        <r>
          <rPr>
            <b/>
            <sz val="9"/>
            <color indexed="81"/>
            <rFont val="Tahoma"/>
          </rPr>
          <t>Sandra Alota:</t>
        </r>
        <r>
          <rPr>
            <sz val="9"/>
            <color indexed="81"/>
            <rFont val="Tahoma"/>
          </rPr>
          <t xml:space="preserve">
connected or same with Island point? 
Please see page 3 3.1
a To provide a minimum of 41.5% of the residential accommodation across
both the City Pride, 15 Westferry Road and Island Point (443-451 Westferry
Road) sites as affordable housing measured by habitable rooms with a
tenure split of 71% social rented and 29% intermediate housing.</t>
        </r>
      </text>
    </comment>
    <comment ref="Q45" authorId="0">
      <text>
        <r>
          <rPr>
            <b/>
            <sz val="9"/>
            <color indexed="81"/>
            <rFont val="Tahoma"/>
          </rPr>
          <t>Sandra Alota:</t>
        </r>
        <r>
          <rPr>
            <sz val="9"/>
            <color indexed="81"/>
            <rFont val="Tahoma"/>
          </rPr>
          <t xml:space="preserve">
page 9 5.1
This application was originally considered by the Strategic Development
Committee at its meeting on 19th February 2009.</t>
        </r>
      </text>
    </comment>
    <comment ref="W71" authorId="0">
      <text>
        <r>
          <rPr>
            <b/>
            <sz val="9"/>
            <color indexed="81"/>
            <rFont val="Tahoma"/>
          </rPr>
          <t>Sandra Alota:</t>
        </r>
        <r>
          <rPr>
            <sz val="9"/>
            <color indexed="81"/>
            <rFont val="Tahoma"/>
          </rPr>
          <t xml:space="preserve">
page 11 4.1</t>
        </r>
      </text>
    </comment>
    <comment ref="X71" authorId="0">
      <text>
        <r>
          <rPr>
            <b/>
            <sz val="9"/>
            <color indexed="81"/>
            <rFont val="Tahoma"/>
          </rPr>
          <t>Sandra Alota:</t>
        </r>
        <r>
          <rPr>
            <sz val="9"/>
            <color indexed="81"/>
            <rFont val="Tahoma"/>
          </rPr>
          <t xml:space="preserve">
page 62 12.36</t>
        </r>
      </text>
    </comment>
    <comment ref="Y71" authorId="0">
      <text>
        <r>
          <rPr>
            <b/>
            <sz val="9"/>
            <color indexed="81"/>
            <rFont val="Tahoma"/>
          </rPr>
          <t>Sandra Alota:</t>
        </r>
        <r>
          <rPr>
            <sz val="9"/>
            <color indexed="81"/>
            <rFont val="Tahoma"/>
          </rPr>
          <t xml:space="preserve">
page 62 12.36</t>
        </r>
      </text>
    </comment>
    <comment ref="AF71" authorId="0">
      <text>
        <r>
          <rPr>
            <b/>
            <sz val="9"/>
            <color indexed="81"/>
            <rFont val="Tahoma"/>
          </rPr>
          <t>Sandra Alota:</t>
        </r>
        <r>
          <rPr>
            <sz val="9"/>
            <color indexed="81"/>
            <rFont val="Tahoma"/>
          </rPr>
          <t xml:space="preserve">
no specific breakdown page 101 14.7 The
Indicative is predicted to contain 715 children (0-15 years of age), accordingly
7150sqm of child play space would be required. There is sufficient space within the
development to meet this requirement and, if necessary, higher levels of child play
space having regard to the flexibility within the Development Specification.</t>
        </r>
      </text>
    </comment>
    <comment ref="AM71" authorId="0">
      <text>
        <r>
          <rPr>
            <b/>
            <sz val="9"/>
            <color indexed="81"/>
            <rFont val="Tahoma"/>
          </rPr>
          <t>Sandra Alota:</t>
        </r>
        <r>
          <rPr>
            <sz val="9"/>
            <color indexed="81"/>
            <rFont val="Tahoma"/>
          </rPr>
          <t xml:space="preserve">
no specific breakdown please see page 28 4.55 The applicant advises that that the Indicative Scheme represents their
favoured approach to development on the site at the current time. It would, inter alia,
provide 3,104 homes (604 of which would be affordable), circa 240,000sqm (GIA) of
office floorspace and circa 31,500sqm (GIA) of retail uses and provide circa
29.500sqm of publicly accessible open space along with a primary school, Idea
Store, Health facility and Leisure centre.</t>
        </r>
      </text>
    </comment>
    <comment ref="AT71" authorId="0">
      <text>
        <r>
          <rPr>
            <b/>
            <sz val="9"/>
            <color indexed="81"/>
            <rFont val="Tahoma"/>
          </rPr>
          <t>Sandra Alota:</t>
        </r>
        <r>
          <rPr>
            <sz val="9"/>
            <color indexed="81"/>
            <rFont val="Tahoma"/>
          </rPr>
          <t xml:space="preserve">
no specific breakdown
page 4 2.5 The development would provide 25% affordable housing by habitable room on site,
80% of which would be affordable rent and 20% intermediate. Applying these
percentages to the indicative scheme would result in 2,053 habitable rooms (604
affordable homes). 1637 habitable rooms (444 homes) of which would be affordable
rent and 416 habitable rooms (160 homes) would be intermediate housing. please also see page 6 3.4. Only percentage is indicated in page 28 4.54 &amp; page 66 13.15 &amp; page 161 27.12</t>
        </r>
      </text>
    </comment>
    <comment ref="BA71" authorId="0">
      <text>
        <r>
          <rPr>
            <b/>
            <sz val="9"/>
            <color indexed="81"/>
            <rFont val="Tahoma"/>
          </rPr>
          <t>Sandra Alota:</t>
        </r>
        <r>
          <rPr>
            <sz val="9"/>
            <color indexed="81"/>
            <rFont val="Tahoma"/>
          </rPr>
          <t xml:space="preserve">
no specific breakdown
page 4 2.5 The development would provide 25% affordable housing by habitable room on site,
80% of which would be affordable rent and 20% intermediate. Applying these
percentages to the indicative scheme would result in 2,053 habitable rooms (604
affordable homes). 1637 habitable rooms (444 homes) of which would be affordable
rent and 416 habitable rooms (160 homes) would be intermediate housing. please also see page 6 3.4. Only percentage is indicated in page 28 4.54 &amp; page 66 13.15 &amp; page 161 27.12</t>
        </r>
      </text>
    </comment>
    <comment ref="BB71" authorId="0">
      <text>
        <r>
          <rPr>
            <b/>
            <sz val="9"/>
            <color indexed="81"/>
            <rFont val="Tahoma"/>
          </rPr>
          <t>Sandra Alota:</t>
        </r>
        <r>
          <rPr>
            <sz val="9"/>
            <color indexed="81"/>
            <rFont val="Tahoma"/>
          </rPr>
          <t xml:space="preserve">
no specific breakdown please see page 28 4.55 The applicant advises that that the Indicative Scheme represents their
favoured approach to development on the site at the current time. It would, inter alia,
provide 3,104 homes (604 of which would be affordable), circa 240,000sqm (GIA) of
office floorspace and circa 31,500sqm (GIA) of retail uses and provide circa
29.500sqm of publicly accessible open space along with a primary school, Idea
Store, Health facility and Leisure centre.</t>
        </r>
      </text>
    </comment>
    <comment ref="BC71" authorId="0">
      <text>
        <r>
          <rPr>
            <b/>
            <sz val="9"/>
            <color indexed="81"/>
            <rFont val="Tahoma"/>
          </rPr>
          <t>Sandra Alota:</t>
        </r>
        <r>
          <rPr>
            <sz val="9"/>
            <color indexed="81"/>
            <rFont val="Tahoma"/>
          </rPr>
          <t xml:space="preserve">
page 59 12.12
The scheme proposes up to 350 hotel beds.</t>
        </r>
      </text>
    </comment>
    <comment ref="BN71" authorId="0">
      <text>
        <r>
          <rPr>
            <b/>
            <sz val="9"/>
            <color indexed="81"/>
            <rFont val="Tahoma"/>
          </rPr>
          <t>Sandra Alota:</t>
        </r>
        <r>
          <rPr>
            <sz val="9"/>
            <color indexed="81"/>
            <rFont val="Tahoma"/>
          </rPr>
          <t xml:space="preserve">
page 28-29 4.53
page 147 18.19</t>
        </r>
      </text>
    </comment>
    <comment ref="BO71" authorId="0">
      <text>
        <r>
          <rPr>
            <b/>
            <sz val="9"/>
            <color indexed="81"/>
            <rFont val="Tahoma"/>
          </rPr>
          <t>Sandra Alota:</t>
        </r>
        <r>
          <rPr>
            <sz val="9"/>
            <color indexed="81"/>
            <rFont val="Tahoma"/>
          </rPr>
          <t xml:space="preserve">
page 28-29 4.53
page 148 18.25</t>
        </r>
      </text>
    </comment>
    <comment ref="BP71" authorId="0">
      <text>
        <r>
          <rPr>
            <b/>
            <sz val="9"/>
            <color indexed="81"/>
            <rFont val="Tahoma"/>
          </rPr>
          <t>Sandra Alota:</t>
        </r>
        <r>
          <rPr>
            <sz val="9"/>
            <color indexed="81"/>
            <rFont val="Tahoma"/>
          </rPr>
          <t xml:space="preserve">
page 24 4.50
</t>
        </r>
      </text>
    </comment>
    <comment ref="BQ71" authorId="0">
      <text>
        <r>
          <rPr>
            <b/>
            <sz val="9"/>
            <color indexed="81"/>
            <rFont val="Tahoma"/>
          </rPr>
          <t>Sandra Alota:</t>
        </r>
        <r>
          <rPr>
            <sz val="9"/>
            <color indexed="81"/>
            <rFont val="Tahoma"/>
          </rPr>
          <t xml:space="preserve">
page 33 7.9</t>
        </r>
      </text>
    </comment>
    <comment ref="Q75" authorId="0">
      <text>
        <r>
          <rPr>
            <b/>
            <sz val="9"/>
            <color indexed="81"/>
            <rFont val="Tahoma"/>
          </rPr>
          <t>Sandra Alota:</t>
        </r>
        <r>
          <rPr>
            <sz val="9"/>
            <color indexed="81"/>
            <rFont val="Tahoma"/>
          </rPr>
          <t xml:space="preserve">
page 8 4.4
This is a new planning application for revised proposals to extant hybrid planning permission which was granted on 6 September 2007 (ref. PA/06/00748)</t>
        </r>
      </text>
    </comment>
    <comment ref="W75" authorId="0">
      <text>
        <r>
          <rPr>
            <b/>
            <sz val="9"/>
            <color indexed="81"/>
            <rFont val="Tahoma"/>
          </rPr>
          <t>Sandra Alota:</t>
        </r>
        <r>
          <rPr>
            <sz val="9"/>
            <color indexed="81"/>
            <rFont val="Tahoma"/>
          </rPr>
          <t xml:space="preserve">
page 11 5.2
However, the application site also includes approximately 0.67 hectares of land within the London Borough of Newham to the north of the River Lea and approximately 0.44 hectares across the River Lea itself  for a pedestrian access link to Canning Town Station</t>
        </r>
      </text>
    </comment>
    <comment ref="Z75" authorId="0">
      <text>
        <r>
          <rPr>
            <b/>
            <sz val="9"/>
            <color indexed="81"/>
            <rFont val="Tahoma"/>
          </rPr>
          <t>Sandra Alota:</t>
        </r>
        <r>
          <rPr>
            <sz val="9"/>
            <color indexed="81"/>
            <rFont val="Tahoma"/>
          </rPr>
          <t xml:space="preserve">
page 39 10.15</t>
        </r>
      </text>
    </comment>
    <comment ref="AA75" authorId="0">
      <text>
        <r>
          <rPr>
            <b/>
            <sz val="9"/>
            <color indexed="81"/>
            <rFont val="Tahoma"/>
          </rPr>
          <t>Sandra Alota:</t>
        </r>
        <r>
          <rPr>
            <sz val="9"/>
            <color indexed="81"/>
            <rFont val="Tahoma"/>
          </rPr>
          <t xml:space="preserve">
page 71 10.266
page 73 10.268
Council requirements = 1,095 sqm
Mayor requirements = 3,650 sqm</t>
        </r>
      </text>
    </comment>
    <comment ref="AF75" authorId="0">
      <text>
        <r>
          <rPr>
            <b/>
            <sz val="9"/>
            <color indexed="81"/>
            <rFont val="Tahoma"/>
          </rPr>
          <t>Sandra Alota:</t>
        </r>
        <r>
          <rPr>
            <sz val="9"/>
            <color indexed="81"/>
            <rFont val="Tahoma"/>
          </rPr>
          <t xml:space="preserve">
page 30 8.57
page 72 10.267
page 73 10.268
No breakdown </t>
        </r>
      </text>
    </comment>
    <comment ref="AM75" authorId="0">
      <text>
        <r>
          <rPr>
            <b/>
            <sz val="9"/>
            <color indexed="81"/>
            <rFont val="Tahoma"/>
          </rPr>
          <t>Sandra Alota:</t>
        </r>
        <r>
          <rPr>
            <sz val="9"/>
            <color indexed="81"/>
            <rFont val="Tahoma"/>
          </rPr>
          <t xml:space="preserve">
page 54 10.124
There is phase 1 and 2 and units were combined and shown as: Studios &amp; 1 beds / 2 beds / 3, 4 &amp; 5 beds</t>
        </r>
      </text>
    </comment>
    <comment ref="AT75" authorId="0">
      <text>
        <r>
          <rPr>
            <b/>
            <sz val="9"/>
            <color indexed="81"/>
            <rFont val="Tahoma"/>
          </rPr>
          <t>Sandra Alota:</t>
        </r>
        <r>
          <rPr>
            <sz val="9"/>
            <color indexed="81"/>
            <rFont val="Tahoma"/>
          </rPr>
          <t xml:space="preserve">
page 54 10.124
There is phase 1 and 2 and units were combined and shown as: Studios &amp; 1 beds / 2 beds / 3, 4 &amp; 5 beds</t>
        </r>
      </text>
    </comment>
    <comment ref="BA75" authorId="0">
      <text>
        <r>
          <rPr>
            <b/>
            <sz val="9"/>
            <color indexed="81"/>
            <rFont val="Tahoma"/>
          </rPr>
          <t>Sandra Alota:</t>
        </r>
        <r>
          <rPr>
            <sz val="9"/>
            <color indexed="81"/>
            <rFont val="Tahoma"/>
          </rPr>
          <t xml:space="preserve">
page 54 10.124
There is phase 1 and 2 and units were combined and shown as: Studios &amp; 1 beds / 2 beds / 3, 4 &amp; 5 beds</t>
        </r>
      </text>
    </comment>
    <comment ref="BB75" authorId="0">
      <text>
        <r>
          <rPr>
            <b/>
            <sz val="9"/>
            <color indexed="81"/>
            <rFont val="Tahoma"/>
          </rPr>
          <t>Sandra Alota:</t>
        </r>
        <r>
          <rPr>
            <sz val="9"/>
            <color indexed="81"/>
            <rFont val="Tahoma"/>
          </rPr>
          <t xml:space="preserve">
page 54 10.124
There is phase 1 and 2 and units were combined and shown as: Studios &amp; 1 beds / 2 beds / 3, 4 &amp; 5 beds
There is an error in computation for Total of phase 1 &amp; phase 2 as per pdf it is 1,736 but it should only be 1,706 = Studios &amp; 1 beds should only be 966  not 996</t>
        </r>
      </text>
    </comment>
    <comment ref="BI75" authorId="0">
      <text>
        <r>
          <rPr>
            <b/>
            <sz val="9"/>
            <color indexed="81"/>
            <rFont val="Tahoma"/>
          </rPr>
          <t>Sandra Alota:</t>
        </r>
        <r>
          <rPr>
            <sz val="9"/>
            <color indexed="81"/>
            <rFont val="Tahoma"/>
          </rPr>
          <t xml:space="preserve">
page 38 10.8</t>
        </r>
      </text>
    </comment>
    <comment ref="BK75" authorId="0">
      <text>
        <r>
          <rPr>
            <b/>
            <sz val="9"/>
            <color indexed="81"/>
            <rFont val="Tahoma"/>
          </rPr>
          <t>Sandra Alota:</t>
        </r>
        <r>
          <rPr>
            <sz val="9"/>
            <color indexed="81"/>
            <rFont val="Tahoma"/>
          </rPr>
          <t xml:space="preserve">
page 38 10.8
Education</t>
        </r>
      </text>
    </comment>
    <comment ref="BL75" authorId="0">
      <text>
        <r>
          <rPr>
            <b/>
            <sz val="9"/>
            <color indexed="81"/>
            <rFont val="Tahoma"/>
          </rPr>
          <t>Sandra Alota:</t>
        </r>
        <r>
          <rPr>
            <sz val="9"/>
            <color indexed="81"/>
            <rFont val="Tahoma"/>
          </rPr>
          <t xml:space="preserve">
page 38 10.8
Leisure</t>
        </r>
      </text>
    </comment>
    <comment ref="BM75" authorId="0">
      <text>
        <r>
          <rPr>
            <b/>
            <sz val="9"/>
            <color indexed="81"/>
            <rFont val="Tahoma"/>
          </rPr>
          <t>Sandra Alota:</t>
        </r>
        <r>
          <rPr>
            <sz val="9"/>
            <color indexed="81"/>
            <rFont val="Tahoma"/>
          </rPr>
          <t xml:space="preserve">
page 38 10.8
Arts &amp; Cultural</t>
        </r>
      </text>
    </comment>
    <comment ref="BN75" authorId="0">
      <text>
        <r>
          <rPr>
            <b/>
            <sz val="9"/>
            <color indexed="81"/>
            <rFont val="Tahoma"/>
          </rPr>
          <t>Sandra Alota:</t>
        </r>
        <r>
          <rPr>
            <sz val="9"/>
            <color indexed="81"/>
            <rFont val="Tahoma"/>
          </rPr>
          <t xml:space="preserve">
page 43 10.19
The scheme proposes a maximum of 629 car parking spaces for the 1,706 units proposed (including 10% disabled spaces) and a further 37 spaces for the remaining community, retail and office uses.</t>
        </r>
      </text>
    </comment>
    <comment ref="BO75" authorId="0">
      <text>
        <r>
          <rPr>
            <b/>
            <sz val="9"/>
            <color indexed="81"/>
            <rFont val="Tahoma"/>
          </rPr>
          <t>Sandra Alota:</t>
        </r>
        <r>
          <rPr>
            <sz val="9"/>
            <color indexed="81"/>
            <rFont val="Tahoma"/>
          </rPr>
          <t xml:space="preserve">
Total is not indicated fro residential cycling spaces = as per page 44 10.
45 The applicant commits to the provision of 1 cycle space per residential unit, with a 140 cycle spaces for the non residential element of the proposal.</t>
        </r>
      </text>
    </comment>
    <comment ref="BQ75" authorId="0">
      <text>
        <r>
          <rPr>
            <b/>
            <sz val="9"/>
            <color indexed="81"/>
            <rFont val="Tahoma"/>
          </rPr>
          <t>Sandra Alota:</t>
        </r>
        <r>
          <rPr>
            <sz val="9"/>
            <color indexed="81"/>
            <rFont val="Tahoma"/>
          </rPr>
          <t xml:space="preserve">
page 9 4.8
page 49 10.84</t>
        </r>
      </text>
    </comment>
    <comment ref="BR75" authorId="0">
      <text>
        <r>
          <rPr>
            <b/>
            <sz val="9"/>
            <color indexed="81"/>
            <rFont val="Tahoma"/>
          </rPr>
          <t>Sandra Alota:</t>
        </r>
        <r>
          <rPr>
            <sz val="9"/>
            <color indexed="81"/>
            <rFont val="Tahoma"/>
          </rPr>
          <t xml:space="preserve">
page 83 10.360 &amp; 10.361
This comes to almost £10m which clearly exceeds the £7m available through LTGDC tariff.</t>
        </r>
      </text>
    </comment>
    <comment ref="Y76" authorId="0">
      <text>
        <r>
          <rPr>
            <b/>
            <sz val="9"/>
            <color indexed="81"/>
            <rFont val="Tahoma"/>
          </rPr>
          <t>Sandra Alota:</t>
        </r>
        <r>
          <rPr>
            <sz val="9"/>
            <color indexed="81"/>
            <rFont val="Tahoma"/>
          </rPr>
          <t xml:space="preserve">
page 48 8.26</t>
        </r>
      </text>
    </comment>
    <comment ref="AC76" authorId="0">
      <text>
        <r>
          <rPr>
            <b/>
            <sz val="9"/>
            <color indexed="81"/>
            <rFont val="Tahoma"/>
          </rPr>
          <t>Sandra Alota:</t>
        </r>
        <r>
          <rPr>
            <sz val="9"/>
            <color indexed="81"/>
            <rFont val="Tahoma"/>
          </rPr>
          <t xml:space="preserve">
page 69 8.175
This proportional
approach to the child yield results in the need for 1489sqm of playspace for children aged 0
– 4, and 1413sqm of playspace for children aged 5 – 10. The scheme delivers 1420sqm of
playspace for children aged 0 – 4 and 1240sqm of playspace for children aged 5 – 11.
Combined, this delivers 2,660sqm of playspace onsite for children aged 0 – 11, thus meeting
the policy for children aged under 11.</t>
        </r>
      </text>
    </comment>
    <comment ref="AD76" authorId="0">
      <text>
        <r>
          <rPr>
            <b/>
            <sz val="9"/>
            <color indexed="81"/>
            <rFont val="Tahoma"/>
          </rPr>
          <t>Sandra Alota:</t>
        </r>
        <r>
          <rPr>
            <sz val="9"/>
            <color indexed="81"/>
            <rFont val="Tahoma"/>
          </rPr>
          <t xml:space="preserve">
This proportional
approach to the child yield results in the need for 1489sqm of playspace for children aged 0
– 4, and 1413sqm of playspace for children aged 5 – 10. The scheme delivers 1420sqm of
playspace for children aged 0 – 4 and 1240sqm of playspace for children aged 5 – 11.
Combined, this delivers 2,660sqm of playspace onsite for children aged 0 – 11, thus meeting
the policy for children aged under 11.</t>
        </r>
      </text>
    </comment>
    <comment ref="AE76" authorId="0">
      <text>
        <r>
          <rPr>
            <b/>
            <sz val="9"/>
            <color indexed="81"/>
            <rFont val="Tahoma"/>
          </rPr>
          <t>Sandra Alota:</t>
        </r>
        <r>
          <rPr>
            <sz val="9"/>
            <color indexed="81"/>
            <rFont val="Tahoma"/>
          </rPr>
          <t xml:space="preserve">
page 70 8.176
Nevertheless, there is an obvious shortfall in provision for children aged 12 and over, where
the scheme should provide 917sqm. The Mayor’s SPG identifies maximum walking
distances to play areas for different age groups, this being 400m for those aged 5 to 11, and
800m for 12 and over.</t>
        </r>
      </text>
    </comment>
    <comment ref="AF76" authorId="0">
      <text>
        <r>
          <rPr>
            <b/>
            <sz val="9"/>
            <color indexed="81"/>
            <rFont val="Tahoma"/>
          </rPr>
          <t>Sandra Alota:</t>
        </r>
        <r>
          <rPr>
            <sz val="9"/>
            <color indexed="81"/>
            <rFont val="Tahoma"/>
          </rPr>
          <t xml:space="preserve">
No breakdown provided
page 69 8.173
The submitted
public realm strategy details that the development proposes to deliver 2660sq.m of play
space, resulting in a shortfall of 1150sqm
page 69 8.174
The child yield for the detailed scheme is expected to be 53.7 children, thus the detailed
element of the proposal should provide a minimum of 537sqm of child play space. The
detailed proposed includes 575sqm of child playspace within a communal amenity area at
podium level, thus compliant with policy.
page 69 8.175
The proposed approach to play overall is to deliver facilities for children aged 0 – 11 on site.
The GLA’s ‘Providing for children and young people’s play and informal recreation’ SPG
(2008) sets out targets for proportions of playspace by age group. This proportional
approach to the child yield results in the need for 1489sqm of playspace for children aged 0
– 4, and 1413sqm of playspace for children aged 5 – 10. The scheme delivers 1420sqm of
playspace for children aged 0 – 4 and 1240sqm of playspace for children aged 5 – 11.
Combined, this delivers 2,660sqm of playspace onsite for children aged 0 – 11, thus meeting
the policy for children aged under 11.</t>
        </r>
      </text>
    </comment>
    <comment ref="BN76" authorId="0">
      <text>
        <r>
          <rPr>
            <b/>
            <sz val="9"/>
            <color indexed="81"/>
            <rFont val="Tahoma"/>
          </rPr>
          <t>Sandra Alota:</t>
        </r>
        <r>
          <rPr>
            <sz val="9"/>
            <color indexed="81"/>
            <rFont val="Tahoma"/>
          </rPr>
          <t xml:space="preserve">
page 49 8.42</t>
        </r>
      </text>
    </comment>
    <comment ref="BO76" authorId="0">
      <text>
        <r>
          <rPr>
            <b/>
            <sz val="9"/>
            <color indexed="81"/>
            <rFont val="Tahoma"/>
          </rPr>
          <t>Sandra Alota:</t>
        </r>
        <r>
          <rPr>
            <sz val="9"/>
            <color indexed="81"/>
            <rFont val="Tahoma"/>
          </rPr>
          <t xml:space="preserve">
page 50 8.50</t>
        </r>
      </text>
    </comment>
    <comment ref="BP76" authorId="0">
      <text>
        <r>
          <rPr>
            <b/>
            <sz val="9"/>
            <color indexed="81"/>
            <rFont val="Tahoma"/>
          </rPr>
          <t>Sandra Alota:</t>
        </r>
        <r>
          <rPr>
            <sz val="9"/>
            <color indexed="81"/>
            <rFont val="Tahoma"/>
          </rPr>
          <t xml:space="preserve">
page 43 7.4
Officer comment: The scheme proposes a 23 storey building up to a maximum height of
86.65m AOD, including all associated plant and lift overruns. This is clear within the
application documents and agreed description of development)
page 57 8.85</t>
        </r>
      </text>
    </comment>
    <comment ref="BQ76" authorId="0">
      <text>
        <r>
          <rPr>
            <b/>
            <sz val="9"/>
            <color indexed="81"/>
            <rFont val="Tahoma"/>
          </rPr>
          <t>Sandra Alota:</t>
        </r>
        <r>
          <rPr>
            <sz val="9"/>
            <color indexed="81"/>
            <rFont val="Tahoma"/>
          </rPr>
          <t xml:space="preserve">
page 9 3.51
page 43 7.4
Officer comment: The scheme proposes a 23 storey building up to a maximum height of
86.65m AOD, including all associated plant and lift overruns. This is clear within the
application documents and agreed description of development)
page 57 8.85</t>
        </r>
      </text>
    </comment>
    <comment ref="BS76" authorId="0">
      <text>
        <r>
          <rPr>
            <b/>
            <sz val="9"/>
            <color indexed="81"/>
            <rFont val="Tahoma"/>
          </rPr>
          <t>Sandra Alota:</t>
        </r>
        <r>
          <rPr>
            <sz val="9"/>
            <color indexed="81"/>
            <rFont val="Tahoma"/>
          </rPr>
          <t xml:space="preserve">
CIL amount not indicated
page 36 6.16
Community Infrastructure Levy
The applicant will need to include appropriate contributions relating to CIL.</t>
        </r>
      </text>
    </comment>
    <comment ref="Y79" authorId="0">
      <text>
        <r>
          <rPr>
            <b/>
            <sz val="9"/>
            <color indexed="81"/>
            <rFont val="Tahoma"/>
          </rPr>
          <t>Sandra Alota:</t>
        </r>
        <r>
          <rPr>
            <sz val="9"/>
            <color indexed="81"/>
            <rFont val="Tahoma"/>
          </rPr>
          <t xml:space="preserve">
page 17 8.8 The scheme is proposing 486 units and the proposed residential
accommodation would result in a density of approximately 1429 habitable rooms per
hectare (1272hr/0.89ha).</t>
        </r>
      </text>
    </comment>
    <comment ref="AF79" authorId="0">
      <text>
        <r>
          <rPr>
            <b/>
            <sz val="9"/>
            <color indexed="81"/>
            <rFont val="Tahoma"/>
          </rPr>
          <t>Sandra Alota:</t>
        </r>
        <r>
          <rPr>
            <sz val="9"/>
            <color indexed="81"/>
            <rFont val="Tahoma"/>
          </rPr>
          <t xml:space="preserve">
page 6 4.4 current scheme 
page 20 8.34 Child play space required 534 sq. m.</t>
        </r>
      </text>
    </comment>
    <comment ref="BN79" authorId="0">
      <text>
        <r>
          <rPr>
            <b/>
            <sz val="9"/>
            <color indexed="81"/>
            <rFont val="Tahoma"/>
          </rPr>
          <t>Sandra Alota:</t>
        </r>
        <r>
          <rPr>
            <sz val="9"/>
            <color indexed="81"/>
            <rFont val="Tahoma"/>
          </rPr>
          <t xml:space="preserve">
page 26 8.70 In order to maximise the areas of open space for pedestrians and to minimise the impact of
car parking at ground level, 202 car and 19 motorcycle basement parking spaces will be
provided.</t>
        </r>
      </text>
    </comment>
    <comment ref="BO79" authorId="0">
      <text>
        <r>
          <rPr>
            <b/>
            <sz val="9"/>
            <color indexed="81"/>
            <rFont val="Tahoma"/>
          </rPr>
          <t>Sandra Alota:</t>
        </r>
        <r>
          <rPr>
            <sz val="9"/>
            <color indexed="81"/>
            <rFont val="Tahoma"/>
          </rPr>
          <t xml:space="preserve">
page 26 8.74 Tfl advised that the 250 cycle parking spaces were inadequate and more should be
provided, in accordance with their cycle parking standard of 1 space per dwelling unit. The
current amended scheme has increased the cycle parking provision to 1:1 residential
spaces and provides cycle stands for visitors and the retail unit within the landscaping pl</t>
        </r>
      </text>
    </comment>
    <comment ref="BQ79" authorId="0">
      <text>
        <r>
          <rPr>
            <b/>
            <sz val="9"/>
            <color indexed="81"/>
            <rFont val="Tahoma"/>
          </rPr>
          <t>Sandra Alota:</t>
        </r>
        <r>
          <rPr>
            <sz val="9"/>
            <color indexed="81"/>
            <rFont val="Tahoma"/>
          </rPr>
          <t xml:space="preserve">
page 22 8.50</t>
        </r>
      </text>
    </comment>
    <comment ref="BR79" authorId="0">
      <text>
        <r>
          <rPr>
            <b/>
            <sz val="9"/>
            <color indexed="81"/>
            <rFont val="Tahoma"/>
          </rPr>
          <t>Sandra Alota:</t>
        </r>
        <r>
          <rPr>
            <sz val="9"/>
            <color indexed="81"/>
            <rFont val="Tahoma"/>
          </rPr>
          <t xml:space="preserve">
Total financial contribution not specifically indicated.
Please see page 3 3.3</t>
        </r>
      </text>
    </comment>
    <comment ref="X81" authorId="0">
      <text>
        <r>
          <rPr>
            <b/>
            <sz val="9"/>
            <color indexed="81"/>
            <rFont val="Tahoma"/>
          </rPr>
          <t>Sandra Alota:</t>
        </r>
        <r>
          <rPr>
            <sz val="9"/>
            <color indexed="81"/>
            <rFont val="Tahoma"/>
          </rPr>
          <t xml:space="preserve">
page 28 9.52 The site has a “good” public transport accessibility level (PTAL 4). For central locations
with a PTAL of 4, both London Plan (Policy 3.4, Table 3.2) and LBTH Core Strategy
seek a density of between 650 and 1100 habitable rooms per hectare.</t>
        </r>
      </text>
    </comment>
    <comment ref="Y81" authorId="0">
      <text>
        <r>
          <rPr>
            <b/>
            <sz val="9"/>
            <color indexed="81"/>
            <rFont val="Tahoma"/>
          </rPr>
          <t>Sandra Alota:</t>
        </r>
        <r>
          <rPr>
            <sz val="9"/>
            <color indexed="81"/>
            <rFont val="Tahoma"/>
          </rPr>
          <t xml:space="preserve">
page 28 9.53 The density of the development is 2,850 habitable rooms per hectare which is above the
indicative range set out by London Plan Policy 3.4. It is acknowledged that this figure is
significantly in excess of the London Plan density ranges. However, the intent of the
London Plan and Council’s MDD is to optimise the intensity of use compatible with local
context, good design principles and public transport capacity. In assessing whether the
density is appropriate for the site, consideration should be given to the quality of
residential accommodation.</t>
        </r>
      </text>
    </comment>
    <comment ref="AC81" authorId="0">
      <text>
        <r>
          <rPr>
            <b/>
            <sz val="9"/>
            <color indexed="81"/>
            <rFont val="Tahoma"/>
          </rPr>
          <t>Sandra Alota:</t>
        </r>
        <r>
          <rPr>
            <sz val="9"/>
            <color indexed="81"/>
            <rFont val="Tahoma"/>
          </rPr>
          <t xml:space="preserve">
page 33 9.89
child play space
under 5 = required = 526 sqm = provided = 581 sqm</t>
        </r>
      </text>
    </comment>
    <comment ref="AD81" authorId="0">
      <text>
        <r>
          <rPr>
            <b/>
            <sz val="9"/>
            <color indexed="81"/>
            <rFont val="Tahoma"/>
          </rPr>
          <t>Sandra Alota:</t>
        </r>
        <r>
          <rPr>
            <sz val="9"/>
            <color indexed="81"/>
            <rFont val="Tahoma"/>
          </rPr>
          <t xml:space="preserve">
page 33 9.89
child play space
5-10 = required = 343 sqm = provided = 439 sqm</t>
        </r>
      </text>
    </comment>
    <comment ref="AE81" authorId="0">
      <text>
        <r>
          <rPr>
            <b/>
            <sz val="9"/>
            <color indexed="81"/>
            <rFont val="Tahoma"/>
          </rPr>
          <t>Sandra Alota:</t>
        </r>
        <r>
          <rPr>
            <sz val="9"/>
            <color indexed="81"/>
            <rFont val="Tahoma"/>
          </rPr>
          <t xml:space="preserve">
page 33 9.89
child play space
11-15 = required = 184 sqm = provided = 196 sqm</t>
        </r>
      </text>
    </comment>
    <comment ref="AF81" authorId="0">
      <text>
        <r>
          <rPr>
            <b/>
            <sz val="9"/>
            <color indexed="81"/>
            <rFont val="Tahoma"/>
          </rPr>
          <t>Sandra Alota:</t>
        </r>
        <r>
          <rPr>
            <sz val="9"/>
            <color indexed="81"/>
            <rFont val="Tahoma"/>
          </rPr>
          <t xml:space="preserve">
page 33 9.89 required: 526sqm+343sqm+184sqm = 1053sqm ; provided: 581sqm+439sqm+196sqm=1216sqm</t>
        </r>
      </text>
    </comment>
    <comment ref="BN81" authorId="0">
      <text>
        <r>
          <rPr>
            <b/>
            <sz val="9"/>
            <color indexed="81"/>
            <rFont val="Tahoma"/>
          </rPr>
          <t>Sandra Alota:</t>
        </r>
        <r>
          <rPr>
            <sz val="9"/>
            <color indexed="81"/>
            <rFont val="Tahoma"/>
          </rPr>
          <t xml:space="preserve">
page 39 9.133</t>
        </r>
      </text>
    </comment>
    <comment ref="BO81" authorId="0">
      <text>
        <r>
          <rPr>
            <b/>
            <sz val="9"/>
            <color indexed="81"/>
            <rFont val="Tahoma"/>
          </rPr>
          <t>Sandra Alota:</t>
        </r>
        <r>
          <rPr>
            <sz val="9"/>
            <color indexed="81"/>
            <rFont val="Tahoma"/>
          </rPr>
          <t xml:space="preserve">
page 39 9.136 467 cycle parking spaces are provided for the residential element with private units
having a separate store to the affordable units (both accessed via a bicycle lift in the main
tower), 2 for the office (at ground floor level), and 12 for visitors.</t>
        </r>
      </text>
    </comment>
    <comment ref="BP81" authorId="0">
      <text>
        <r>
          <rPr>
            <b/>
            <sz val="9"/>
            <color indexed="81"/>
            <rFont val="Tahoma"/>
          </rPr>
          <t>Sandra Alota:</t>
        </r>
        <r>
          <rPr>
            <sz val="9"/>
            <color indexed="81"/>
            <rFont val="Tahoma"/>
          </rPr>
          <t xml:space="preserve">
page 22 9.21
The main feature of the proposed development is a single tall tower (187m AOD) which
has a simple and slender form which is reflective of the Pan Peninsular Towers to the
west, Dollar Bay (extant planning consent) to the east, Wood Wharf (extant planning
consent) to the north of the site, and is generally in keeping with the established Canary
Wharf vernacular.</t>
        </r>
      </text>
    </comment>
    <comment ref="BQ81" authorId="0">
      <text>
        <r>
          <rPr>
            <b/>
            <sz val="9"/>
            <color indexed="81"/>
            <rFont val="Tahoma"/>
          </rPr>
          <t>Sandra Alota:</t>
        </r>
        <r>
          <rPr>
            <sz val="9"/>
            <color indexed="81"/>
            <rFont val="Tahoma"/>
          </rPr>
          <t xml:space="preserve">
page 1 under Application</t>
        </r>
      </text>
    </comment>
    <comment ref="BS81" authorId="0">
      <text>
        <r>
          <rPr>
            <b/>
            <sz val="9"/>
            <color indexed="81"/>
            <rFont val="Tahoma"/>
          </rPr>
          <t>Sandra Alota:</t>
        </r>
        <r>
          <rPr>
            <sz val="9"/>
            <color indexed="81"/>
            <rFont val="Tahoma"/>
          </rPr>
          <t xml:space="preserve">
page 40 9.138 The development will be required to make a contribution of around £1,413,160 towards
the Mayor of London’s Community Infrastructure Levy (CIL) which pools funds to help
meet the cost of delivering Crossrail across London. CIL takes precedence over the
Mayor of London’s Crossrail SPG contribution, as the overall figure is higher.</t>
        </r>
      </text>
    </comment>
    <comment ref="Q82" authorId="0">
      <text>
        <r>
          <rPr>
            <b/>
            <sz val="9"/>
            <color indexed="81"/>
            <rFont val="Tahoma"/>
          </rPr>
          <t>Sandra Alota:</t>
        </r>
        <r>
          <rPr>
            <sz val="9"/>
            <color indexed="81"/>
            <rFont val="Tahoma"/>
          </rPr>
          <t xml:space="preserve">
Previous meeting = May 29, 2008 refused </t>
        </r>
      </text>
    </comment>
    <comment ref="AC82" authorId="0">
      <text>
        <r>
          <rPr>
            <b/>
            <sz val="9"/>
            <color indexed="81"/>
            <rFont val="Tahoma"/>
          </rPr>
          <t>Sandra Alota:</t>
        </r>
        <r>
          <rPr>
            <sz val="9"/>
            <color indexed="81"/>
            <rFont val="Tahoma"/>
          </rPr>
          <t xml:space="preserve">
no breakdown page 15
and page 29 8.56</t>
        </r>
      </text>
    </comment>
    <comment ref="AF82" authorId="0">
      <text>
        <r>
          <rPr>
            <b/>
            <sz val="9"/>
            <color indexed="81"/>
            <rFont val="Tahoma"/>
          </rPr>
          <t>Sandra Alota:</t>
        </r>
        <r>
          <rPr>
            <sz val="9"/>
            <color indexed="81"/>
            <rFont val="Tahoma"/>
          </rPr>
          <t xml:space="preserve">
page 7 4.11
380sqm of children’s playspace at podium level;
page 29 8.56
</t>
        </r>
      </text>
    </comment>
    <comment ref="BB82" authorId="0">
      <text>
        <r>
          <rPr>
            <b/>
            <sz val="9"/>
            <color indexed="81"/>
            <rFont val="Tahoma"/>
          </rPr>
          <t>Sandra Alota:</t>
        </r>
        <r>
          <rPr>
            <sz val="9"/>
            <color indexed="81"/>
            <rFont val="Tahoma"/>
          </rPr>
          <t xml:space="preserve">
Onsite Unit page 24 8.21
There's an offiste units indicated with equivalent financial contribution</t>
        </r>
      </text>
    </comment>
    <comment ref="BN82" authorId="0">
      <text>
        <r>
          <rPr>
            <b/>
            <sz val="9"/>
            <color indexed="81"/>
            <rFont val="Tahoma"/>
          </rPr>
          <t>Sandra Alota:</t>
        </r>
        <r>
          <rPr>
            <sz val="9"/>
            <color indexed="81"/>
            <rFont val="Tahoma"/>
          </rPr>
          <t xml:space="preserve">
page 7</t>
        </r>
      </text>
    </comment>
    <comment ref="BR82" authorId="0">
      <text>
        <r>
          <rPr>
            <b/>
            <sz val="9"/>
            <color indexed="81"/>
            <rFont val="Tahoma"/>
          </rPr>
          <t>Sandra Alota:</t>
        </r>
        <r>
          <rPr>
            <sz val="9"/>
            <color indexed="81"/>
            <rFont val="Tahoma"/>
          </rPr>
          <t xml:space="preserve">
Total not specifically indicated</t>
        </r>
      </text>
    </comment>
    <comment ref="Y84" authorId="0">
      <text>
        <r>
          <rPr>
            <b/>
            <sz val="9"/>
            <color indexed="81"/>
            <rFont val="Tahoma"/>
          </rPr>
          <t>Sandra Alota:</t>
        </r>
        <r>
          <rPr>
            <sz val="9"/>
            <color indexed="81"/>
            <rFont val="Tahoma"/>
          </rPr>
          <t xml:space="preserve">
page 26 8.14</t>
        </r>
      </text>
    </comment>
    <comment ref="AF84" authorId="0">
      <text>
        <r>
          <rPr>
            <b/>
            <sz val="9"/>
            <color indexed="81"/>
            <rFont val="Tahoma"/>
          </rPr>
          <t>Sandra Alota:</t>
        </r>
        <r>
          <rPr>
            <sz val="9"/>
            <color indexed="81"/>
            <rFont val="Tahoma"/>
          </rPr>
          <t xml:space="preserve">
page 39 8.118
In association with the London Plan Policy 3.6: Children and Young People’s Play and
Informal Recreation Strategies, it has been calculated that the scheme should provide a total
of 2,396sqm. The total amount of play space provided by the proposed development
equates to 5,179sqm.</t>
        </r>
      </text>
    </comment>
    <comment ref="BN84" authorId="0">
      <text>
        <r>
          <rPr>
            <b/>
            <sz val="9"/>
            <color indexed="81"/>
            <rFont val="Tahoma"/>
          </rPr>
          <t>Sandra Alota:</t>
        </r>
        <r>
          <rPr>
            <sz val="9"/>
            <color indexed="81"/>
            <rFont val="Tahoma"/>
          </rPr>
          <t xml:space="preserve">
page 28 8.28
As the scheme is providing the opportunity for all existing residents to return, and as there
are currently 189 parking permits issued to existing residents, the new scheme will provide
189 parking on-site car parking spaces plus 2 car club spaces.</t>
        </r>
      </text>
    </comment>
    <comment ref="BO84" authorId="0">
      <text>
        <r>
          <rPr>
            <b/>
            <sz val="9"/>
            <color indexed="81"/>
            <rFont val="Tahoma"/>
          </rPr>
          <t>Sandra Alota:</t>
        </r>
        <r>
          <rPr>
            <sz val="9"/>
            <color indexed="81"/>
            <rFont val="Tahoma"/>
          </rPr>
          <t xml:space="preserve">
page 29 8.34
498 resident spaces are proposed and 9 visitor spaces. 
Page 29 8.35 The application seeks to provide 18 motorbike parking spaces.</t>
        </r>
      </text>
    </comment>
    <comment ref="BR84" authorId="0">
      <text>
        <r>
          <rPr>
            <b/>
            <sz val="9"/>
            <color indexed="81"/>
            <rFont val="Tahoma"/>
          </rPr>
          <t>Sandra Alota:</t>
        </r>
        <r>
          <rPr>
            <sz val="9"/>
            <color indexed="81"/>
            <rFont val="Tahoma"/>
          </rPr>
          <t xml:space="preserve">
page 51 8.221
</t>
        </r>
      </text>
    </comment>
    <comment ref="BS84" authorId="0">
      <text>
        <r>
          <rPr>
            <b/>
            <sz val="9"/>
            <color indexed="81"/>
            <rFont val="Tahoma"/>
          </rPr>
          <t>Sandra Alota:</t>
        </r>
        <r>
          <rPr>
            <sz val="9"/>
            <color indexed="81"/>
            <rFont val="Tahoma"/>
          </rPr>
          <t xml:space="preserve">
page 54 8.232
The likely CIL
payment associated with this development would be in the region of £627,270.</t>
        </r>
      </text>
    </comment>
    <comment ref="Y85" authorId="0">
      <text>
        <r>
          <rPr>
            <b/>
            <sz val="9"/>
            <color indexed="81"/>
            <rFont val="Tahoma"/>
          </rPr>
          <t>Sandra Alota:</t>
        </r>
        <r>
          <rPr>
            <sz val="9"/>
            <color indexed="81"/>
            <rFont val="Tahoma"/>
          </rPr>
          <t xml:space="preserve">
Appendix 1.pdf
page 24 8.14</t>
        </r>
      </text>
    </comment>
    <comment ref="AF85" authorId="0">
      <text>
        <r>
          <rPr>
            <b/>
            <sz val="9"/>
            <color indexed="81"/>
            <rFont val="Tahoma"/>
          </rPr>
          <t>Sandra Alota:</t>
        </r>
        <r>
          <rPr>
            <sz val="9"/>
            <color indexed="81"/>
            <rFont val="Tahoma"/>
          </rPr>
          <t xml:space="preserve">
Appendix 1.pdf page 31 8.67 200 sqm only is proposed within scheme a shortfall of 470 sqm
</t>
        </r>
      </text>
    </comment>
    <comment ref="BN85" authorId="0">
      <text>
        <r>
          <rPr>
            <b/>
            <sz val="9"/>
            <color indexed="81"/>
            <rFont val="Tahoma"/>
          </rPr>
          <t>Sandra Alota:</t>
        </r>
        <r>
          <rPr>
            <sz val="9"/>
            <color indexed="81"/>
            <rFont val="Tahoma"/>
          </rPr>
          <t xml:space="preserve">
Appendix 1.pdf page 37 8.114</t>
        </r>
      </text>
    </comment>
    <comment ref="BO85" authorId="0">
      <text>
        <r>
          <rPr>
            <b/>
            <sz val="9"/>
            <color indexed="81"/>
            <rFont val="Tahoma"/>
          </rPr>
          <t>Sandra Alota:</t>
        </r>
        <r>
          <rPr>
            <sz val="9"/>
            <color indexed="81"/>
            <rFont val="Tahoma"/>
          </rPr>
          <t xml:space="preserve">
Appendix 1.pdf page 37 8.123</t>
        </r>
      </text>
    </comment>
    <comment ref="BR85" authorId="0">
      <text>
        <r>
          <rPr>
            <b/>
            <sz val="9"/>
            <color indexed="81"/>
            <rFont val="Tahoma"/>
          </rPr>
          <t>Sandra Alota:</t>
        </r>
        <r>
          <rPr>
            <sz val="9"/>
            <color indexed="81"/>
            <rFont val="Tahoma"/>
          </rPr>
          <t xml:space="preserve">
Update.pdf
Total financial Contributions Secured £826, 408</t>
        </r>
      </text>
    </comment>
    <comment ref="BS85" authorId="0">
      <text>
        <r>
          <rPr>
            <b/>
            <sz val="9"/>
            <color indexed="81"/>
            <rFont val="Tahoma"/>
          </rPr>
          <t>Sandra Alota:</t>
        </r>
        <r>
          <rPr>
            <sz val="9"/>
            <color indexed="81"/>
            <rFont val="Tahoma"/>
          </rPr>
          <t xml:space="preserve">
Appendix 1.pdf
page 40 8.152</t>
        </r>
      </text>
    </comment>
    <comment ref="AF86" authorId="0">
      <text>
        <r>
          <rPr>
            <b/>
            <sz val="9"/>
            <color indexed="81"/>
            <rFont val="Tahoma"/>
          </rPr>
          <t>Sandra Alota:</t>
        </r>
        <r>
          <rPr>
            <sz val="9"/>
            <color indexed="81"/>
            <rFont val="Tahoma"/>
          </rPr>
          <t xml:space="preserve">
page 31 8.56
In accordance with Policy DM4 of MDD, LBTH
Planning Obligations SPD and Mayor of London’s Shaping Neighbourhoods: Play
and Informal Recreation SPD the development should provide a minimum 10sq.m
per child and therefore a minimum of 400sq.m of defined play space for all ages
(ages 0-15). The scheme provides 436sq.m of the dedicated child play space. As
such the scheme provides a quantum of on-site play space that complies with Policy
DM4 of the MDD</t>
        </r>
      </text>
    </comment>
    <comment ref="AM86" authorId="0">
      <text>
        <r>
          <rPr>
            <b/>
            <sz val="9"/>
            <color indexed="81"/>
            <rFont val="Tahoma"/>
          </rPr>
          <t>Sandra Alota:</t>
        </r>
        <r>
          <rPr>
            <sz val="9"/>
            <color indexed="81"/>
            <rFont val="Tahoma"/>
          </rPr>
          <t xml:space="preserve">
No specific/exact breakdown
page 10 7.7 (please see also page 27 8.32 &amp; 8.34 &amp; page 42 8.126)</t>
        </r>
      </text>
    </comment>
    <comment ref="AT86" authorId="0">
      <text>
        <r>
          <rPr>
            <b/>
            <sz val="9"/>
            <color indexed="81"/>
            <rFont val="Tahoma"/>
          </rPr>
          <t>Sandra Alota:</t>
        </r>
        <r>
          <rPr>
            <sz val="9"/>
            <color indexed="81"/>
            <rFont val="Tahoma"/>
          </rPr>
          <t xml:space="preserve">
No specific/exact breakdown
page 10 7.7 (please see also page 27 8.32 &amp; 8.34 &amp; page 42 8.126) 11 = social rented + 9 affordable rented = 20</t>
        </r>
      </text>
    </comment>
    <comment ref="BA86" authorId="0">
      <text>
        <r>
          <rPr>
            <b/>
            <sz val="9"/>
            <color indexed="81"/>
            <rFont val="Tahoma"/>
          </rPr>
          <t>Sandra Alota:</t>
        </r>
        <r>
          <rPr>
            <sz val="9"/>
            <color indexed="81"/>
            <rFont val="Tahoma"/>
          </rPr>
          <t xml:space="preserve">
No specific/exact breakdown
page 10 7.7 (please see also page 27 8.32 &amp; 8.34 &amp; page 42 8.126)</t>
        </r>
      </text>
    </comment>
    <comment ref="M87" authorId="0">
      <text>
        <r>
          <rPr>
            <b/>
            <sz val="9"/>
            <color indexed="81"/>
            <rFont val="Tahoma"/>
          </rPr>
          <t>Sandra Alota:</t>
        </r>
        <r>
          <rPr>
            <sz val="9"/>
            <color indexed="81"/>
            <rFont val="Tahoma"/>
          </rPr>
          <t xml:space="preserve">
page 1
(This application is linked to a separate planning application
ref: PA/11/01944 for the erection of 64 residential units at
18-36 Thomas Road. Both of these applications are linked
for reasons relating to the provision of off-site affordable
housing).</t>
        </r>
      </text>
    </comment>
    <comment ref="Y87" authorId="0">
      <text>
        <r>
          <rPr>
            <b/>
            <sz val="9"/>
            <color indexed="81"/>
            <rFont val="Tahoma"/>
          </rPr>
          <t>Sandra Alota:</t>
        </r>
        <r>
          <rPr>
            <sz val="9"/>
            <color indexed="81"/>
            <rFont val="Tahoma"/>
          </rPr>
          <t xml:space="preserve">
page 29 9.13
The proposal results in a density of 1,122hrph.</t>
        </r>
      </text>
    </comment>
    <comment ref="AC87" authorId="0">
      <text>
        <r>
          <rPr>
            <b/>
            <sz val="9"/>
            <color indexed="81"/>
            <rFont val="Tahoma"/>
          </rPr>
          <t>Sandra Alota:</t>
        </r>
        <r>
          <rPr>
            <sz val="9"/>
            <color indexed="81"/>
            <rFont val="Tahoma"/>
          </rPr>
          <t xml:space="preserve">
page 45 9.94
Using LBTH child yield calculations, the proposed development is anticipated to
deliver 12 children and accordingly the development should provide a minimum
of 122sqm of play space. The development proposes to deliver 120sqm of play
space for 0-5 age group.</t>
        </r>
      </text>
    </comment>
    <comment ref="AF87" authorId="0">
      <text>
        <r>
          <rPr>
            <b/>
            <sz val="9"/>
            <color indexed="81"/>
            <rFont val="Tahoma"/>
          </rPr>
          <t>Sandra Alota:</t>
        </r>
        <r>
          <rPr>
            <sz val="9"/>
            <color indexed="81"/>
            <rFont val="Tahoma"/>
          </rPr>
          <t xml:space="preserve">
page 45 9.94
Using LBTH child yield calculations, the proposed development is anticipated to
deliver 12 children and accordingly the development should provide a minimum
of 122sqm of play space. The development proposes to deliver 120sqm of play
space for 0-5 age group.</t>
        </r>
      </text>
    </comment>
    <comment ref="AH87" authorId="0">
      <text>
        <r>
          <rPr>
            <b/>
            <sz val="9"/>
            <color indexed="81"/>
            <rFont val="Tahoma"/>
          </rPr>
          <t>Sandra Alota:</t>
        </r>
        <r>
          <rPr>
            <sz val="9"/>
            <color indexed="81"/>
            <rFont val="Tahoma"/>
          </rPr>
          <t xml:space="preserve">
page 42 9.106</t>
        </r>
      </text>
    </comment>
    <comment ref="AI87" authorId="0">
      <text>
        <r>
          <rPr>
            <b/>
            <sz val="9"/>
            <color indexed="81"/>
            <rFont val="Tahoma"/>
          </rPr>
          <t>Sandra Alota:</t>
        </r>
        <r>
          <rPr>
            <sz val="9"/>
            <color indexed="81"/>
            <rFont val="Tahoma"/>
          </rPr>
          <t xml:space="preserve">
page 42 9.106</t>
        </r>
      </text>
    </comment>
    <comment ref="BN87" authorId="0">
      <text>
        <r>
          <rPr>
            <b/>
            <sz val="9"/>
            <color indexed="81"/>
            <rFont val="Tahoma"/>
          </rPr>
          <t>Sandra Alota:</t>
        </r>
        <r>
          <rPr>
            <sz val="9"/>
            <color indexed="81"/>
            <rFont val="Tahoma"/>
          </rPr>
          <t xml:space="preserve">
page 30 9.24
There are 12 existing parking spaces on the site and the application proposes a
total of 36 on-site spaces (including 4 disabled parking spaces).</t>
        </r>
      </text>
    </comment>
    <comment ref="BO87" authorId="0">
      <text>
        <r>
          <rPr>
            <b/>
            <sz val="9"/>
            <color indexed="81"/>
            <rFont val="Tahoma"/>
          </rPr>
          <t>Sandra Alota:</t>
        </r>
        <r>
          <rPr>
            <sz val="9"/>
            <color indexed="81"/>
            <rFont val="Tahoma"/>
          </rPr>
          <t xml:space="preserve">
page 31 9.28
183 resident spaces are proposed and
12 visitor spaces.</t>
        </r>
      </text>
    </comment>
    <comment ref="BR87" authorId="0">
      <text>
        <r>
          <rPr>
            <b/>
            <sz val="9"/>
            <color indexed="81"/>
            <rFont val="Tahoma"/>
          </rPr>
          <t>Sandra Alota:</t>
        </r>
        <r>
          <rPr>
            <sz val="9"/>
            <color indexed="81"/>
            <rFont val="Tahoma"/>
          </rPr>
          <t xml:space="preserve">
page 57 9.185 
This provides a
total financial contribution of £1.4m (across both sites).
page 57 9.186
This £1.4million request is based on the Council’s adopted SPD, and equates to
£899k for Dollar Bay and £449k for Thomas Rd.</t>
        </r>
      </text>
    </comment>
    <comment ref="C88" authorId="0">
      <text>
        <r>
          <rPr>
            <b/>
            <sz val="9"/>
            <color indexed="81"/>
            <rFont val="Tahoma"/>
          </rPr>
          <t>Sandra Alota:</t>
        </r>
        <r>
          <rPr>
            <sz val="9"/>
            <color indexed="81"/>
            <rFont val="Tahoma"/>
          </rPr>
          <t xml:space="preserve">
page 38 9.79
As highlighted in previous sections of this report, the proposed application for 1-
18 Dollar Bay is linked to the proposed redevelopment of 18-36 Thomas Rd for
reasons relating to affordable housing. For the purposes of affordable housing,
both sites are considered together. However for clarification purposes, the
individual mix for both sites will be outlined separately.</t>
        </r>
      </text>
    </comment>
    <comment ref="AH88" authorId="0">
      <text>
        <r>
          <rPr>
            <b/>
            <sz val="9"/>
            <color indexed="81"/>
            <rFont val="Tahoma"/>
          </rPr>
          <t>Sandra Alota:</t>
        </r>
        <r>
          <rPr>
            <sz val="9"/>
            <color indexed="81"/>
            <rFont val="Tahoma"/>
          </rPr>
          <t xml:space="preserve">
discrepancy of 1
40 for Dollar Marsh
1 for Thomas Road 
Should be 41 or should 1 should be in 2 bedroom for Thomas Road? ** for checking</t>
        </r>
      </text>
    </comment>
    <comment ref="AI88" authorId="0">
      <text>
        <r>
          <rPr>
            <b/>
            <sz val="9"/>
            <color indexed="81"/>
            <rFont val="Tahoma"/>
          </rPr>
          <t>Sandra Alota:</t>
        </r>
        <r>
          <rPr>
            <sz val="9"/>
            <color indexed="81"/>
            <rFont val="Tahoma"/>
          </rPr>
          <t xml:space="preserve">
discrepancy of 1
38 for Dollar Marsh
0 for Thomas Road 
Should be 38 or should 1 should be in 2 bedroom for Thomas Road? ** for checking</t>
        </r>
      </text>
    </comment>
    <comment ref="BR88" authorId="0">
      <text>
        <r>
          <rPr>
            <b/>
            <sz val="9"/>
            <color indexed="81"/>
            <rFont val="Tahoma"/>
          </rPr>
          <t>Sandra Alota:</t>
        </r>
        <r>
          <rPr>
            <sz val="9"/>
            <color indexed="81"/>
            <rFont val="Tahoma"/>
          </rPr>
          <t xml:space="preserve">
page 57 9.185 
This provides a
total financial contribution of £1.4m (across both sites).
page 57 9.186
This £1.4million request is based on the Council’s adopted SPD, and equates to
£899k for Dollar Bay and £449k for Thomas Rd.</t>
        </r>
      </text>
    </comment>
    <comment ref="Y89" authorId="0">
      <text>
        <r>
          <rPr>
            <b/>
            <sz val="9"/>
            <color indexed="81"/>
            <rFont val="Tahoma"/>
          </rPr>
          <t>Sandra Alota:</t>
        </r>
        <r>
          <rPr>
            <sz val="9"/>
            <color indexed="81"/>
            <rFont val="Tahoma"/>
          </rPr>
          <t xml:space="preserve">
page 18 8.13
The site has a public transport accessibility level (PTAL) of 3/4, and its immediate setting is
urban in character. According to the London Plan density matrix, the site can
accommodate a density of between 200 and 700 habitable rooms per hectare. The
proposed density is 858 habitable rooms per hectare.</t>
        </r>
      </text>
    </comment>
    <comment ref="AF89" authorId="0">
      <text>
        <r>
          <rPr>
            <b/>
            <sz val="9"/>
            <color indexed="81"/>
            <rFont val="Tahoma"/>
          </rPr>
          <t>Sandra Alota:</t>
        </r>
        <r>
          <rPr>
            <sz val="9"/>
            <color indexed="81"/>
            <rFont val="Tahoma"/>
          </rPr>
          <t xml:space="preserve">
page 24 8.72
Informal play provision is proposed within the areas of communal amenity space within the
development (total 100sqm). Located at podium level, the area of play would incorporate
play boulders, stepping stones and logs, and purpose-built play surfacing. This on-site
playspace is intended for children under 5 (of which there is a policy requirement for 19
children, or 195sqm). Given the constrained nature of the site, on balance the approach
put forward by the applicants is considered acceptable.
page 24 8.73
Additionally, it is not feasible to provide facilities for older children, aged 5 - 15 within the
proposed development.</t>
        </r>
      </text>
    </comment>
    <comment ref="AH89" authorId="0">
      <text>
        <r>
          <rPr>
            <b/>
            <sz val="9"/>
            <color indexed="81"/>
            <rFont val="Tahoma"/>
          </rPr>
          <t>Sandra Alota:</t>
        </r>
        <r>
          <rPr>
            <sz val="9"/>
            <color indexed="81"/>
            <rFont val="Tahoma"/>
          </rPr>
          <t xml:space="preserve">
page 21 8.45</t>
        </r>
      </text>
    </comment>
    <comment ref="AI89" authorId="0">
      <text>
        <r>
          <rPr>
            <b/>
            <sz val="9"/>
            <color indexed="81"/>
            <rFont val="Tahoma"/>
          </rPr>
          <t>Sandra Alota:</t>
        </r>
        <r>
          <rPr>
            <sz val="9"/>
            <color indexed="81"/>
            <rFont val="Tahoma"/>
          </rPr>
          <t xml:space="preserve">
page 21 8.45</t>
        </r>
      </text>
    </comment>
    <comment ref="AR89" authorId="0">
      <text>
        <r>
          <rPr>
            <b/>
            <sz val="9"/>
            <color indexed="81"/>
            <rFont val="Tahoma"/>
          </rPr>
          <t>Sandra Alota:</t>
        </r>
        <r>
          <rPr>
            <sz val="9"/>
            <color indexed="81"/>
            <rFont val="Tahoma"/>
          </rPr>
          <t xml:space="preserve">
Indicated on Thomas Road 4+ bedroom = 6 but it is listed specifically in the Dollar Marsh List as 4=4 &amp; 5=2 </t>
        </r>
      </text>
    </comment>
    <comment ref="AS89" authorId="0">
      <text>
        <r>
          <rPr>
            <b/>
            <sz val="9"/>
            <color indexed="81"/>
            <rFont val="Tahoma"/>
          </rPr>
          <t>Sandra Alota:</t>
        </r>
        <r>
          <rPr>
            <sz val="9"/>
            <color indexed="81"/>
            <rFont val="Tahoma"/>
          </rPr>
          <t xml:space="preserve">
Indicated on Thomas Road 4+ bedroom = 6 but it is listed specifically in the Dollar Marsh List as 4=4 &amp; 5=2 </t>
        </r>
      </text>
    </comment>
    <comment ref="BP89" authorId="0">
      <text>
        <r>
          <rPr>
            <b/>
            <sz val="9"/>
            <color indexed="81"/>
            <rFont val="Tahoma"/>
          </rPr>
          <t>Sandra Alota:</t>
        </r>
        <r>
          <rPr>
            <sz val="9"/>
            <color indexed="81"/>
            <rFont val="Tahoma"/>
          </rPr>
          <t xml:space="preserve">
page 5 4.1</t>
        </r>
      </text>
    </comment>
    <comment ref="BQ89" authorId="0">
      <text>
        <r>
          <rPr>
            <b/>
            <sz val="9"/>
            <color indexed="81"/>
            <rFont val="Tahoma"/>
          </rPr>
          <t>Sandra Alota:</t>
        </r>
        <r>
          <rPr>
            <sz val="9"/>
            <color indexed="81"/>
            <rFont val="Tahoma"/>
          </rPr>
          <t xml:space="preserve">
page 5 4.1</t>
        </r>
      </text>
    </comment>
    <comment ref="BR89" authorId="0">
      <text>
        <r>
          <rPr>
            <b/>
            <sz val="9"/>
            <color indexed="81"/>
            <rFont val="Tahoma"/>
          </rPr>
          <t>Sandra Alota:</t>
        </r>
        <r>
          <rPr>
            <sz val="9"/>
            <color indexed="81"/>
            <rFont val="Tahoma"/>
          </rPr>
          <t xml:space="preserve">
page 33 8.144
This £1.4million request is based on the Council’s adopted SPD, and equates to £899k for
Dollar Bay and £449k for Thomas Rd.</t>
        </r>
      </text>
    </comment>
    <comment ref="AF90" authorId="0">
      <text>
        <r>
          <rPr>
            <b/>
            <sz val="9"/>
            <color indexed="81"/>
            <rFont val="Tahoma"/>
          </rPr>
          <t>Sandra Alota:</t>
        </r>
        <r>
          <rPr>
            <sz val="9"/>
            <color indexed="81"/>
            <rFont val="Tahoma"/>
          </rPr>
          <t xml:space="preserve">
page 33 10.73
provided on site = 243 sqm 
Policy requirement = 261
- 18 sqm</t>
        </r>
      </text>
    </comment>
    <comment ref="BD90" authorId="0">
      <text>
        <r>
          <rPr>
            <b/>
            <sz val="9"/>
            <color indexed="81"/>
            <rFont val="Tahoma"/>
          </rPr>
          <t>Sandra Alota:</t>
        </r>
        <r>
          <rPr>
            <sz val="9"/>
            <color indexed="81"/>
            <rFont val="Tahoma"/>
          </rPr>
          <t xml:space="preserve">
page 6 6.1</t>
        </r>
      </text>
    </comment>
    <comment ref="BN90" authorId="0">
      <text>
        <r>
          <rPr>
            <b/>
            <sz val="9"/>
            <color indexed="81"/>
            <rFont val="Tahoma"/>
          </rPr>
          <t xml:space="preserve">Sandra Alota:
</t>
        </r>
        <r>
          <rPr>
            <sz val="9"/>
            <color indexed="81"/>
            <rFont val="Tahoma"/>
          </rPr>
          <t xml:space="preserve">page 19 8.55
The proposal involves retaining the current car parking provision at Lanark Square and
relocating 15 existing car parking spaces from Pepper Street to Lanark Square and the
adjacent basement car park. 
page 35 10.89
The development proposals would remove existing 15 spaces and provide 9 disabled
spaces including one Electric Vehicle Charging Points.
</t>
        </r>
      </text>
    </comment>
    <comment ref="BO90" authorId="0">
      <text>
        <r>
          <rPr>
            <b/>
            <sz val="9"/>
            <color indexed="81"/>
            <rFont val="Tahoma"/>
          </rPr>
          <t>Sandra Alota:</t>
        </r>
        <r>
          <rPr>
            <sz val="9"/>
            <color indexed="81"/>
            <rFont val="Tahoma"/>
          </rPr>
          <t xml:space="preserve">
page 35 10.93</t>
        </r>
      </text>
    </comment>
    <comment ref="BR90" authorId="0">
      <text>
        <r>
          <rPr>
            <b/>
            <sz val="9"/>
            <color indexed="81"/>
            <rFont val="Tahoma"/>
          </rPr>
          <t>Sandra Alota:</t>
        </r>
        <r>
          <rPr>
            <sz val="9"/>
            <color indexed="81"/>
            <rFont val="Tahoma"/>
          </rPr>
          <t xml:space="preserve">
page 4 3.2</t>
        </r>
      </text>
    </comment>
    <comment ref="Y93" authorId="0">
      <text>
        <r>
          <rPr>
            <b/>
            <sz val="9"/>
            <color indexed="81"/>
            <rFont val="Tahoma"/>
          </rPr>
          <t>Sandra Alota:</t>
        </r>
        <r>
          <rPr>
            <sz val="9"/>
            <color indexed="81"/>
            <rFont val="Tahoma"/>
          </rPr>
          <t xml:space="preserve">
page 40 8.17
The applicant has provided an indicative accommodation schedule which states that
the density within the area to the north of Poplar High Street/Naval Row would be
approximately 591 hr/ha whilst the density to the south is approximately 1242 hr/ha, with an
overall average density of approximately 847hr/ha.</t>
        </r>
      </text>
    </comment>
    <comment ref="AF93" authorId="0">
      <text>
        <r>
          <rPr>
            <b/>
            <sz val="9"/>
            <color indexed="81"/>
            <rFont val="Tahoma"/>
          </rPr>
          <t>Sandra Alota:</t>
        </r>
        <r>
          <rPr>
            <sz val="9"/>
            <color indexed="81"/>
            <rFont val="Tahoma"/>
          </rPr>
          <t xml:space="preserve">
no breakdown of no. of children
page 61 8.143 
Using LBTH child yield calculations and based on the submitted indicative unit mix, the
proposed development is anticipated to deliver 879 children and accordingly the
development should provide a minimum of 8790 sq.m of play space in accordance with the
London Plan and the emerging MD DPD’s standard of 10sq.m per child. The submitted
public realm strategy details that the development proposes to deliver 8,315 sq.m of play
space.</t>
        </r>
      </text>
    </comment>
    <comment ref="BB93" authorId="0">
      <text>
        <r>
          <rPr>
            <b/>
            <sz val="9"/>
            <color indexed="81"/>
            <rFont val="Tahoma"/>
          </rPr>
          <t>Sandra Alota:</t>
        </r>
        <r>
          <rPr>
            <sz val="9"/>
            <color indexed="81"/>
            <rFont val="Tahoma"/>
          </rPr>
          <t xml:space="preserve">
page 59 8.131</t>
        </r>
      </text>
    </comment>
    <comment ref="BN93" authorId="0">
      <text>
        <r>
          <rPr>
            <b/>
            <sz val="9"/>
            <color indexed="81"/>
            <rFont val="Tahoma"/>
          </rPr>
          <t>Sandra Alota:</t>
        </r>
        <r>
          <rPr>
            <sz val="9"/>
            <color indexed="81"/>
            <rFont val="Tahoma"/>
          </rPr>
          <t xml:space="preserve">
page 44 8.39
The scheme proposes a maximum of 340 off-street car parking spaces.
Page 44 8.40
The applicant has detailed that the 72 on-street spaces will be primarily residential permit
spaces, with further mixed bays where possible.</t>
        </r>
      </text>
    </comment>
    <comment ref="BQ93" authorId="0">
      <text>
        <r>
          <rPr>
            <b/>
            <sz val="9"/>
            <color indexed="81"/>
            <rFont val="Tahoma"/>
          </rPr>
          <t xml:space="preserve">Sandra Alota:
</t>
        </r>
        <r>
          <rPr>
            <sz val="9"/>
            <color indexed="81"/>
            <rFont val="Tahoma"/>
          </rPr>
          <t>page 8 phase 1A
Maximum height restriction on parcel A1 of 15 residential storeys (50 metres AOD)
page 54 8.98</t>
        </r>
      </text>
    </comment>
    <comment ref="BR93" authorId="0">
      <text>
        <r>
          <rPr>
            <b/>
            <sz val="9"/>
            <color indexed="81"/>
            <rFont val="Tahoma"/>
          </rPr>
          <t>Sandra Alota:</t>
        </r>
        <r>
          <rPr>
            <sz val="9"/>
            <color indexed="81"/>
            <rFont val="Tahoma"/>
          </rPr>
          <t xml:space="preserve">
page 71 8.226</t>
        </r>
      </text>
    </comment>
    <comment ref="X129" authorId="0">
      <text>
        <r>
          <rPr>
            <b/>
            <sz val="9"/>
            <color indexed="81"/>
            <rFont val="Tahoma"/>
          </rPr>
          <t>Sandra Alota:</t>
        </r>
        <r>
          <rPr>
            <sz val="9"/>
            <color indexed="81"/>
            <rFont val="Tahoma"/>
          </rPr>
          <t xml:space="preserve">
page 23 8.13</t>
        </r>
      </text>
    </comment>
    <comment ref="Y129" authorId="0">
      <text>
        <r>
          <rPr>
            <b/>
            <sz val="9"/>
            <color indexed="81"/>
            <rFont val="Tahoma"/>
          </rPr>
          <t>Sandra Alota:</t>
        </r>
        <r>
          <rPr>
            <sz val="9"/>
            <color indexed="81"/>
            <rFont val="Tahoma"/>
          </rPr>
          <t xml:space="preserve">
page 23 8.13</t>
        </r>
      </text>
    </comment>
    <comment ref="AF129" authorId="0">
      <text>
        <r>
          <rPr>
            <b/>
            <sz val="9"/>
            <color indexed="81"/>
            <rFont val="Tahoma"/>
          </rPr>
          <t xml:space="preserve">Sandra Alota:
</t>
        </r>
        <r>
          <rPr>
            <sz val="9"/>
            <color indexed="81"/>
            <rFont val="Tahoma"/>
          </rPr>
          <t>no breakdown for number of children please check page 33 8.76
680 sqm is required but the proposed scheme is only 516 sqm = shortfall of 164 sqm</t>
        </r>
      </text>
    </comment>
    <comment ref="AM129" authorId="0">
      <text>
        <r>
          <rPr>
            <b/>
            <sz val="9"/>
            <color indexed="81"/>
            <rFont val="Tahoma"/>
          </rPr>
          <t>Sandra Alota:</t>
        </r>
        <r>
          <rPr>
            <sz val="9"/>
            <color indexed="81"/>
            <rFont val="Tahoma"/>
          </rPr>
          <t xml:space="preserve">
no breakdown please see page 29 8.52</t>
        </r>
      </text>
    </comment>
    <comment ref="AT129" authorId="0">
      <text>
        <r>
          <rPr>
            <b/>
            <sz val="9"/>
            <color indexed="81"/>
            <rFont val="Tahoma"/>
          </rPr>
          <t>Sandra Alota:</t>
        </r>
        <r>
          <rPr>
            <sz val="9"/>
            <color indexed="81"/>
            <rFont val="Tahoma"/>
          </rPr>
          <t xml:space="preserve">
no breakdown please see page 29 8.52</t>
        </r>
      </text>
    </comment>
    <comment ref="BA129" authorId="0">
      <text>
        <r>
          <rPr>
            <b/>
            <sz val="9"/>
            <color indexed="81"/>
            <rFont val="Tahoma"/>
          </rPr>
          <t>Sandra Alota:</t>
        </r>
        <r>
          <rPr>
            <sz val="9"/>
            <color indexed="81"/>
            <rFont val="Tahoma"/>
          </rPr>
          <t xml:space="preserve">
no breakdown please see page 29 8.52</t>
        </r>
      </text>
    </comment>
    <comment ref="BB129" authorId="0">
      <text>
        <r>
          <rPr>
            <b/>
            <sz val="9"/>
            <color indexed="81"/>
            <rFont val="Tahoma"/>
          </rPr>
          <t>Sandra Alota:</t>
        </r>
        <r>
          <rPr>
            <sz val="9"/>
            <color indexed="81"/>
            <rFont val="Tahoma"/>
          </rPr>
          <t xml:space="preserve">
no breakdown please see page 29 8.52</t>
        </r>
      </text>
    </comment>
    <comment ref="BN129" authorId="0">
      <text>
        <r>
          <rPr>
            <b/>
            <sz val="9"/>
            <color indexed="81"/>
            <rFont val="Tahoma"/>
          </rPr>
          <t>Sandra Alota:</t>
        </r>
        <r>
          <rPr>
            <sz val="9"/>
            <color indexed="81"/>
            <rFont val="Tahoma"/>
          </rPr>
          <t xml:space="preserve">
page 37 8.109 
The revised scheme
would continue to provide 39 basement car parking spaces
page 37 8.110 The revised scheme
proposes a greater number of family-sized affordable homes and the applicant has agreed to
allocate car parking spaces for these on the same ratio, meaning that 9 spaces would be
allocated.</t>
        </r>
      </text>
    </comment>
    <comment ref="BO129" authorId="0">
      <text>
        <r>
          <rPr>
            <b/>
            <sz val="9"/>
            <color indexed="81"/>
            <rFont val="Tahoma"/>
          </rPr>
          <t>Sandra Alota:</t>
        </r>
        <r>
          <rPr>
            <sz val="9"/>
            <color indexed="81"/>
            <rFont val="Tahoma"/>
          </rPr>
          <t xml:space="preserve">
page 38 8.116268
cycle parking spaces are being proposed in various storage
areas around the site</t>
        </r>
      </text>
    </comment>
    <comment ref="BS129" authorId="0">
      <text>
        <r>
          <rPr>
            <b/>
            <sz val="9"/>
            <color indexed="81"/>
            <rFont val="Tahoma"/>
          </rPr>
          <t>Sandra Alota:</t>
        </r>
        <r>
          <rPr>
            <sz val="9"/>
            <color indexed="81"/>
            <rFont val="Tahoma"/>
          </rPr>
          <t xml:space="preserve">
page 42 8.144 
The Mayoral CIL applicable to a scheme
of this size is £514,570</t>
        </r>
      </text>
    </comment>
    <comment ref="W130" authorId="0">
      <text>
        <r>
          <rPr>
            <b/>
            <sz val="9"/>
            <color indexed="81"/>
            <rFont val="Tahoma"/>
          </rPr>
          <t>Sandra Alota:</t>
        </r>
        <r>
          <rPr>
            <sz val="9"/>
            <color indexed="81"/>
            <rFont val="Tahoma"/>
          </rPr>
          <t xml:space="preserve">
page 5 4.3</t>
        </r>
      </text>
    </comment>
    <comment ref="AF130" authorId="0">
      <text>
        <r>
          <rPr>
            <b/>
            <sz val="9"/>
            <color indexed="81"/>
            <rFont val="Tahoma"/>
          </rPr>
          <t>Sandra Alota:</t>
        </r>
        <r>
          <rPr>
            <sz val="9"/>
            <color indexed="81"/>
            <rFont val="Tahoma"/>
          </rPr>
          <t xml:space="preserve">
page 26 10.72
For the 0-5 year age group, a total of 420sqm would be required, for 5-10
year olds 350sqm would be required, and for 11-15 year olds 220sqm is
required. As such, a total of 999sqm is required.</t>
        </r>
      </text>
    </comment>
    <comment ref="BN130" authorId="0">
      <text>
        <r>
          <rPr>
            <b/>
            <sz val="9"/>
            <color indexed="81"/>
            <rFont val="Tahoma"/>
          </rPr>
          <t>Sandra Alota:</t>
        </r>
        <r>
          <rPr>
            <sz val="9"/>
            <color indexed="81"/>
            <rFont val="Tahoma"/>
          </rPr>
          <t xml:space="preserve">
page 7 6.8
page 32 10.117</t>
        </r>
      </text>
    </comment>
    <comment ref="BO130" authorId="0">
      <text>
        <r>
          <rPr>
            <b/>
            <sz val="9"/>
            <color indexed="81"/>
            <rFont val="Tahoma"/>
          </rPr>
          <t>Sandra Alota:</t>
        </r>
        <r>
          <rPr>
            <sz val="9"/>
            <color indexed="81"/>
            <rFont val="Tahoma"/>
          </rPr>
          <t xml:space="preserve">
page 7 6.8</t>
        </r>
      </text>
    </comment>
    <comment ref="BR130" authorId="0">
      <text>
        <r>
          <rPr>
            <b/>
            <sz val="9"/>
            <color indexed="81"/>
            <rFont val="Tahoma"/>
          </rPr>
          <t>Sandra Alota:</t>
        </r>
        <r>
          <rPr>
            <sz val="9"/>
            <color indexed="81"/>
            <rFont val="Tahoma"/>
          </rPr>
          <t xml:space="preserve">
page 36 10.136</t>
        </r>
      </text>
    </comment>
    <comment ref="BS130" authorId="0">
      <text>
        <r>
          <rPr>
            <b/>
            <sz val="9"/>
            <color indexed="81"/>
            <rFont val="Tahoma"/>
          </rPr>
          <t>Sandra Alota:</t>
        </r>
        <r>
          <rPr>
            <sz val="9"/>
            <color indexed="81"/>
            <rFont val="Tahoma"/>
          </rPr>
          <t xml:space="preserve">
page 36 10.137</t>
        </r>
      </text>
    </comment>
    <comment ref="Y131" authorId="0">
      <text>
        <r>
          <rPr>
            <b/>
            <sz val="9"/>
            <color indexed="81"/>
            <rFont val="Tahoma"/>
          </rPr>
          <t>Sandra Alota:</t>
        </r>
        <r>
          <rPr>
            <sz val="9"/>
            <color indexed="81"/>
            <rFont val="Tahoma"/>
          </rPr>
          <t xml:space="preserve">
page 35 9.17</t>
        </r>
      </text>
    </comment>
    <comment ref="AF131" authorId="0">
      <text>
        <r>
          <rPr>
            <b/>
            <sz val="9"/>
            <color indexed="81"/>
            <rFont val="Tahoma"/>
          </rPr>
          <t>Sandra Alota:</t>
        </r>
        <r>
          <rPr>
            <sz val="9"/>
            <color indexed="81"/>
            <rFont val="Tahoma"/>
          </rPr>
          <t xml:space="preserve">
page 54 9.149
</t>
        </r>
      </text>
    </comment>
    <comment ref="AT131" authorId="0">
      <text>
        <r>
          <rPr>
            <b/>
            <sz val="9"/>
            <color indexed="81"/>
            <rFont val="Tahoma"/>
          </rPr>
          <t>Sandra Alota:</t>
        </r>
        <r>
          <rPr>
            <sz val="9"/>
            <color indexed="81"/>
            <rFont val="Tahoma"/>
          </rPr>
          <t xml:space="preserve">
page 50 9.124
Affordable and Social Rent are separated in the table/combined here</t>
        </r>
      </text>
    </comment>
    <comment ref="BN131" authorId="0">
      <text>
        <r>
          <rPr>
            <b/>
            <sz val="9"/>
            <color indexed="81"/>
            <rFont val="Tahoma"/>
          </rPr>
          <t>Sandra Alota:</t>
        </r>
        <r>
          <rPr>
            <sz val="9"/>
            <color indexed="81"/>
            <rFont val="Tahoma"/>
          </rPr>
          <t xml:space="preserve">
page 37 9.33</t>
        </r>
      </text>
    </comment>
    <comment ref="BO131" authorId="0">
      <text>
        <r>
          <rPr>
            <b/>
            <sz val="9"/>
            <color indexed="81"/>
            <rFont val="Tahoma"/>
          </rPr>
          <t>Sandra Alota:</t>
        </r>
        <r>
          <rPr>
            <sz val="9"/>
            <color indexed="81"/>
            <rFont val="Tahoma"/>
          </rPr>
          <t xml:space="preserve">
page 38 9.40
The applicant has confirmed this
commitment. The total number of cycle spaces proposed will be 364 in car parks
plus 37 visitor spaces provided externally.</t>
        </r>
      </text>
    </comment>
    <comment ref="BR131" authorId="0">
      <text>
        <r>
          <rPr>
            <b/>
            <sz val="9"/>
            <color indexed="81"/>
            <rFont val="Tahoma"/>
          </rPr>
          <t>Sandra Alota:</t>
        </r>
        <r>
          <rPr>
            <sz val="9"/>
            <color indexed="81"/>
            <rFont val="Tahoma"/>
          </rPr>
          <t xml:space="preserve">
page 70 9.251</t>
        </r>
      </text>
    </comment>
    <comment ref="AC132" authorId="0">
      <text>
        <r>
          <rPr>
            <b/>
            <sz val="9"/>
            <color indexed="81"/>
            <rFont val="Tahoma"/>
          </rPr>
          <t>Sandra Alota:</t>
        </r>
        <r>
          <rPr>
            <sz val="9"/>
            <color indexed="81"/>
            <rFont val="Tahoma"/>
          </rPr>
          <t xml:space="preserve">
page 30 8.92
0-4 years old</t>
        </r>
      </text>
    </comment>
    <comment ref="AD132" authorId="0">
      <text>
        <r>
          <rPr>
            <b/>
            <sz val="9"/>
            <color indexed="81"/>
            <rFont val="Tahoma"/>
          </rPr>
          <t>Sandra Alota:</t>
        </r>
        <r>
          <rPr>
            <sz val="9"/>
            <color indexed="81"/>
            <rFont val="Tahoma"/>
          </rPr>
          <t xml:space="preserve">
page 30 8.92
5-10 years old</t>
        </r>
      </text>
    </comment>
    <comment ref="AE132" authorId="0">
      <text>
        <r>
          <rPr>
            <b/>
            <sz val="9"/>
            <color indexed="81"/>
            <rFont val="Tahoma"/>
          </rPr>
          <t>Sandra Alota:</t>
        </r>
        <r>
          <rPr>
            <sz val="9"/>
            <color indexed="81"/>
            <rFont val="Tahoma"/>
          </rPr>
          <t xml:space="preserve">
page 30 8.92
11-15 years old
as per proposal = 0 (zero)</t>
        </r>
      </text>
    </comment>
    <comment ref="AF132" authorId="0">
      <text>
        <r>
          <rPr>
            <b/>
            <sz val="9"/>
            <color indexed="81"/>
            <rFont val="Tahoma"/>
          </rPr>
          <t>Sandra Alota:</t>
        </r>
        <r>
          <rPr>
            <sz val="9"/>
            <color indexed="81"/>
            <rFont val="Tahoma"/>
          </rPr>
          <t xml:space="preserve">
page 30 8.92
proposal is only 678 sqm
page 31 8.93
The proposal does not provide child playspace for 11-15 year olds on site. As
such, there is a deficiency of approximately 261 sqm. However, it is considered that an off
site contribution for child playspace would be considered most appropriate for this age
range. </t>
        </r>
      </text>
    </comment>
    <comment ref="BN132" authorId="0">
      <text>
        <r>
          <rPr>
            <b/>
            <sz val="9"/>
            <color indexed="81"/>
            <rFont val="Tahoma"/>
          </rPr>
          <t>Sandra Alota:</t>
        </r>
        <r>
          <rPr>
            <sz val="9"/>
            <color indexed="81"/>
            <rFont val="Tahoma"/>
          </rPr>
          <t xml:space="preserve">
page 31 8.97
The proposal would make provision for 1 onsite accessible car
parking space located to the west of the site and no other car parking spaces on site. This is
supported by LBTH Highways team.</t>
        </r>
      </text>
    </comment>
    <comment ref="BO132" authorId="0">
      <text>
        <r>
          <rPr>
            <b/>
            <sz val="9"/>
            <color indexed="81"/>
            <rFont val="Tahoma"/>
          </rPr>
          <t>Sandra Alota:</t>
        </r>
        <r>
          <rPr>
            <sz val="9"/>
            <color indexed="81"/>
            <rFont val="Tahoma"/>
          </rPr>
          <t xml:space="preserve">
page 31 8.99 
The proposal makes provision for 166 cycle spaces for residents and an additional 12 cycle
parking spaces for visitors. A 146 of the residential spaces would be secure and located in
the basement of the building and 20 spaces would be located at ground floor level.</t>
        </r>
      </text>
    </comment>
    <comment ref="Y133" authorId="0">
      <text>
        <r>
          <rPr>
            <b/>
            <sz val="9"/>
            <color indexed="81"/>
            <rFont val="Tahoma"/>
          </rPr>
          <t>Sandra Alota:</t>
        </r>
        <r>
          <rPr>
            <sz val="9"/>
            <color indexed="81"/>
            <rFont val="Tahoma"/>
          </rPr>
          <t xml:space="preserve">
page 23 8.9</t>
        </r>
      </text>
    </comment>
    <comment ref="BN133" authorId="0">
      <text>
        <r>
          <rPr>
            <b/>
            <sz val="9"/>
            <color indexed="81"/>
            <rFont val="Tahoma"/>
          </rPr>
          <t>Sandra Alota:</t>
        </r>
        <r>
          <rPr>
            <sz val="9"/>
            <color indexed="81"/>
            <rFont val="Tahoma"/>
          </rPr>
          <t xml:space="preserve">
page 17 6.13
It is outlined that Site G will provide 9 car parking spaces, 4 of which are to be
retained as on-street residential permit spaces on Brownfield Street.
TfL note that 20 spaces will be allocated for Site I-1 and I-2. The 20 spaces will
replace on-street parking on Ida Street.</t>
        </r>
      </text>
    </comment>
    <comment ref="BO133" authorId="0">
      <text>
        <r>
          <rPr>
            <b/>
            <sz val="9"/>
            <color indexed="81"/>
            <rFont val="Tahoma"/>
          </rPr>
          <t>Sandra Alota:</t>
        </r>
        <r>
          <rPr>
            <sz val="9"/>
            <color indexed="81"/>
            <rFont val="Tahoma"/>
          </rPr>
          <t xml:space="preserve">
page 18
TfL supports the proposal to provide 147 cycle parking spaces for sites E and G.</t>
        </r>
      </text>
    </comment>
    <comment ref="Y139" authorId="0">
      <text>
        <r>
          <rPr>
            <b/>
            <sz val="9"/>
            <color indexed="81"/>
            <rFont val="Tahoma"/>
          </rPr>
          <t>Sandra Alota:</t>
        </r>
        <r>
          <rPr>
            <sz val="9"/>
            <color indexed="81"/>
            <rFont val="Tahoma"/>
          </rPr>
          <t xml:space="preserve">
page 22 8.30</t>
        </r>
      </text>
    </comment>
    <comment ref="AB139" authorId="0">
      <text>
        <r>
          <rPr>
            <b/>
            <sz val="9"/>
            <color indexed="81"/>
            <rFont val="Tahoma"/>
          </rPr>
          <t>Sandra Alota:</t>
        </r>
        <r>
          <rPr>
            <sz val="9"/>
            <color indexed="81"/>
            <rFont val="Tahoma"/>
          </rPr>
          <t xml:space="preserve">
page 31 8.96 &amp; 8.98</t>
        </r>
      </text>
    </comment>
    <comment ref="AC139" authorId="0">
      <text>
        <r>
          <rPr>
            <b/>
            <sz val="9"/>
            <color indexed="81"/>
            <rFont val="Tahoma"/>
          </rPr>
          <t>Sandra Alota:</t>
        </r>
        <r>
          <rPr>
            <sz val="9"/>
            <color indexed="81"/>
            <rFont val="Tahoma"/>
          </rPr>
          <t xml:space="preserve">
page 31 8.98</t>
        </r>
      </text>
    </comment>
    <comment ref="AF139" authorId="0">
      <text>
        <r>
          <rPr>
            <b/>
            <sz val="9"/>
            <color indexed="81"/>
            <rFont val="Tahoma"/>
          </rPr>
          <t>Sandra Alota:</t>
        </r>
        <r>
          <rPr>
            <sz val="9"/>
            <color indexed="81"/>
            <rFont val="Tahoma"/>
          </rPr>
          <t xml:space="preserve">
page 31 8.98
In respect of the child play space, the total expected child occupancy generated by the
proposal would be approximately 65 children. This should generate a requirement for 650
sq metres of child play space requirements of which 250 sq. metres would be expected to
be provided on site (25 children will be under 5 years old) to comply with policy
requirements.</t>
        </r>
      </text>
    </comment>
    <comment ref="BB139" authorId="0">
      <text>
        <r>
          <rPr>
            <b/>
            <sz val="9"/>
            <color indexed="81"/>
            <rFont val="Tahoma"/>
          </rPr>
          <t>Sandra Alota:</t>
        </r>
        <r>
          <rPr>
            <sz val="9"/>
            <color indexed="81"/>
            <rFont val="Tahoma"/>
          </rPr>
          <t xml:space="preserve">
page 20 8.16</t>
        </r>
      </text>
    </comment>
    <comment ref="BN139" authorId="0">
      <text>
        <r>
          <rPr>
            <b/>
            <sz val="9"/>
            <color indexed="81"/>
            <rFont val="Tahoma"/>
          </rPr>
          <t>Sandra Alota:</t>
        </r>
        <r>
          <rPr>
            <sz val="9"/>
            <color indexed="81"/>
            <rFont val="Tahoma"/>
          </rPr>
          <t xml:space="preserve">
page 34 8.124</t>
        </r>
      </text>
    </comment>
    <comment ref="BO139" authorId="0">
      <text>
        <r>
          <rPr>
            <b/>
            <sz val="9"/>
            <color indexed="81"/>
            <rFont val="Tahoma"/>
          </rPr>
          <t>Sandra Alota:</t>
        </r>
        <r>
          <rPr>
            <sz val="9"/>
            <color indexed="81"/>
            <rFont val="Tahoma"/>
          </rPr>
          <t xml:space="preserve">
page 34 8.128
The scheme provides for 98 cycle parking spaces proposed within two separate locations
(88 in the railway arches within the site adjacent to Repton Street and a further 10 at
Maroon Street end).</t>
        </r>
      </text>
    </comment>
    <comment ref="BS139" authorId="0">
      <text>
        <r>
          <rPr>
            <b/>
            <sz val="9"/>
            <color indexed="81"/>
            <rFont val="Tahoma"/>
          </rPr>
          <t>Sandra Alota:</t>
        </r>
        <r>
          <rPr>
            <sz val="9"/>
            <color indexed="81"/>
            <rFont val="Tahoma"/>
          </rPr>
          <t xml:space="preserve">
page 4 6.6
No objections as the application site lies outside of the land subject to consultation in respect
of the safeguarding zone.</t>
        </r>
      </text>
    </comment>
    <comment ref="W140" authorId="0">
      <text>
        <r>
          <rPr>
            <b/>
            <sz val="9"/>
            <color indexed="81"/>
            <rFont val="Tahoma"/>
          </rPr>
          <t>Sandra Alota:</t>
        </r>
        <r>
          <rPr>
            <sz val="9"/>
            <color indexed="81"/>
            <rFont val="Tahoma"/>
          </rPr>
          <t xml:space="preserve">
page 5 4.3</t>
        </r>
      </text>
    </comment>
    <comment ref="AF140" authorId="0">
      <text>
        <r>
          <rPr>
            <b/>
            <sz val="9"/>
            <color indexed="81"/>
            <rFont val="Tahoma"/>
          </rPr>
          <t>Sandra Alota:</t>
        </r>
        <r>
          <rPr>
            <sz val="9"/>
            <color indexed="81"/>
            <rFont val="Tahoma"/>
          </rPr>
          <t xml:space="preserve">
page 26 10.72
For the 0-5 year age group, a total of 420sqm would be required, for 5-10
year olds 350sqm would be required, and for 11-15 year olds 220sqm is
required. As such, a total of 999sqm is required.</t>
        </r>
      </text>
    </comment>
    <comment ref="BN140" authorId="0">
      <text>
        <r>
          <rPr>
            <b/>
            <sz val="9"/>
            <color indexed="81"/>
            <rFont val="Tahoma"/>
          </rPr>
          <t>Sandra Alota:</t>
        </r>
        <r>
          <rPr>
            <sz val="9"/>
            <color indexed="81"/>
            <rFont val="Tahoma"/>
          </rPr>
          <t xml:space="preserve">
page 7 6.8
page 32 10.117</t>
        </r>
      </text>
    </comment>
    <comment ref="BO140" authorId="0">
      <text>
        <r>
          <rPr>
            <b/>
            <sz val="9"/>
            <color indexed="81"/>
            <rFont val="Tahoma"/>
          </rPr>
          <t>Sandra Alota:</t>
        </r>
        <r>
          <rPr>
            <sz val="9"/>
            <color indexed="81"/>
            <rFont val="Tahoma"/>
          </rPr>
          <t xml:space="preserve">
page 7 6.8</t>
        </r>
      </text>
    </comment>
    <comment ref="BR140" authorId="0">
      <text>
        <r>
          <rPr>
            <b/>
            <sz val="9"/>
            <color indexed="81"/>
            <rFont val="Tahoma"/>
          </rPr>
          <t>Sandra Alota:</t>
        </r>
        <r>
          <rPr>
            <sz val="9"/>
            <color indexed="81"/>
            <rFont val="Tahoma"/>
          </rPr>
          <t xml:space="preserve">
page 36 10.136</t>
        </r>
      </text>
    </comment>
    <comment ref="BS140" authorId="0">
      <text>
        <r>
          <rPr>
            <b/>
            <sz val="9"/>
            <color indexed="81"/>
            <rFont val="Tahoma"/>
          </rPr>
          <t>Sandra Alota:</t>
        </r>
        <r>
          <rPr>
            <sz val="9"/>
            <color indexed="81"/>
            <rFont val="Tahoma"/>
          </rPr>
          <t xml:space="preserve">
page 36 10.137</t>
        </r>
      </text>
    </comment>
    <comment ref="M146" authorId="0">
      <text>
        <r>
          <rPr>
            <b/>
            <sz val="9"/>
            <color indexed="81"/>
            <rFont val="Tahoma"/>
          </rPr>
          <t>Sandra Alota:</t>
        </r>
        <r>
          <rPr>
            <sz val="9"/>
            <color indexed="81"/>
            <rFont val="Tahoma"/>
          </rPr>
          <t xml:space="preserve">
page 4 4.10 PA/09/00214 plan refused on 1/6/2010 but allowed at appeal on 5/17/2011 there are other appeal/comment on page 5 4.11 to 4.13. Also please check page 11 8.13 This scheme has been linked to the residential development at Newfoundland
(PA/13/1455) which is a private housing scheme located at the north of the Isle of Dogs. Also see page 2 2.3</t>
        </r>
      </text>
    </comment>
    <comment ref="AB146" authorId="0">
      <text>
        <r>
          <rPr>
            <b/>
            <sz val="9"/>
            <color indexed="81"/>
            <rFont val="Tahoma"/>
          </rPr>
          <t>Sandra Alota:</t>
        </r>
        <r>
          <rPr>
            <sz val="9"/>
            <color indexed="81"/>
            <rFont val="Tahoma"/>
          </rPr>
          <t xml:space="preserve">
LBTH yield is not mentioned - other term is used for yield page 16 8.44 This gives a total child yield of 55 based on the Tower Hamlets Population Change and
Growth Model. Please see page 9 6.27 - Officer Response</t>
        </r>
      </text>
    </comment>
    <comment ref="AM146" authorId="0">
      <text>
        <r>
          <rPr>
            <b/>
            <sz val="9"/>
            <color indexed="81"/>
            <rFont val="Tahoma"/>
          </rPr>
          <t>Sandra Alota:</t>
        </r>
        <r>
          <rPr>
            <sz val="9"/>
            <color indexed="81"/>
            <rFont val="Tahoma"/>
          </rPr>
          <t xml:space="preserve">
page 11 8.3 no breakdown </t>
        </r>
      </text>
    </comment>
    <comment ref="AT146" authorId="0">
      <text>
        <r>
          <rPr>
            <b/>
            <sz val="9"/>
            <color indexed="81"/>
            <rFont val="Tahoma"/>
          </rPr>
          <t>Sandra Alota:</t>
        </r>
        <r>
          <rPr>
            <sz val="9"/>
            <color indexed="81"/>
            <rFont val="Tahoma"/>
          </rPr>
          <t xml:space="preserve">
page 4 4.4 &amp; page 8 6.18
</t>
        </r>
      </text>
    </comment>
    <comment ref="BA146" authorId="0">
      <text>
        <r>
          <rPr>
            <b/>
            <sz val="9"/>
            <color indexed="81"/>
            <rFont val="Tahoma"/>
          </rPr>
          <t>Sandra Alota:</t>
        </r>
        <r>
          <rPr>
            <sz val="9"/>
            <color indexed="81"/>
            <rFont val="Tahoma"/>
          </rPr>
          <t xml:space="preserve">
page 11 8.3 no breakdown </t>
        </r>
      </text>
    </comment>
    <comment ref="BB146" authorId="0">
      <text>
        <r>
          <rPr>
            <b/>
            <sz val="9"/>
            <color indexed="81"/>
            <rFont val="Tahoma"/>
          </rPr>
          <t>Sandra Alota:</t>
        </r>
        <r>
          <rPr>
            <sz val="9"/>
            <color indexed="81"/>
            <rFont val="Tahoma"/>
          </rPr>
          <t xml:space="preserve">
page 11 8.11 The application as approved included 17 affordable housing units out of a total of 56 units.
The total number of habitable rooms was 164, 104 would have been private and 60
affordable. This represented 37% by habitable room. Within the affordable tenure 42
habitable rooms were to be for social rent and 18 were for intermediate housing, this results
in a ratio of 70:30 social rent to intermediate.</t>
        </r>
      </text>
    </comment>
    <comment ref="BN146" authorId="0">
      <text>
        <r>
          <rPr>
            <b/>
            <sz val="9"/>
            <color indexed="81"/>
            <rFont val="Tahoma"/>
          </rPr>
          <t>Sandra Alota:</t>
        </r>
        <r>
          <rPr>
            <sz val="9"/>
            <color indexed="81"/>
            <rFont val="Tahoma"/>
          </rPr>
          <t xml:space="preserve">
page 6 6.5 The proposed change does not suggest any
car parking space which is welcomed.</t>
        </r>
      </text>
    </comment>
    <comment ref="BS146" authorId="0">
      <text>
        <r>
          <rPr>
            <b/>
            <sz val="9"/>
            <color indexed="81"/>
            <rFont val="Tahoma"/>
          </rPr>
          <t>Sandra Alota:</t>
        </r>
        <r>
          <rPr>
            <sz val="9"/>
            <color indexed="81"/>
            <rFont val="Tahoma"/>
          </rPr>
          <t xml:space="preserve">
page 20 8.80 There are not likely to be any CIL payments associated with this development.</t>
        </r>
      </text>
    </comment>
    <comment ref="Y147" authorId="0">
      <text>
        <r>
          <rPr>
            <b/>
            <sz val="9"/>
            <color indexed="81"/>
            <rFont val="Tahoma"/>
          </rPr>
          <t>Sandra Alota:</t>
        </r>
        <r>
          <rPr>
            <sz val="9"/>
            <color indexed="81"/>
            <rFont val="Tahoma"/>
          </rPr>
          <t xml:space="preserve">
page 17 9.10
The approved density of the site (under PA/10/00161) is 794 habitable rooms per hectare,
however this falls to 728 habitable rooms per hectare when taking into account the adjoining
‘Church Green’ landscaped area (as approved under planning permission reference
PA/09/01354) which is to be delivered alongside that scheme.
page 17 9.11
The addition of 12 units takes the density up to 745 habitable rooms per hectares.
</t>
        </r>
      </text>
    </comment>
    <comment ref="Z147" authorId="0">
      <text>
        <r>
          <rPr>
            <b/>
            <sz val="9"/>
            <color indexed="81"/>
            <rFont val="Tahoma"/>
          </rPr>
          <t>Sandra Alota:</t>
        </r>
        <r>
          <rPr>
            <sz val="9"/>
            <color indexed="81"/>
            <rFont val="Tahoma"/>
          </rPr>
          <t xml:space="preserve">
page 28 9.73</t>
        </r>
      </text>
    </comment>
    <comment ref="AF147" authorId="0">
      <text>
        <r>
          <rPr>
            <b/>
            <sz val="9"/>
            <color indexed="81"/>
            <rFont val="Tahoma"/>
          </rPr>
          <t xml:space="preserve">Sandra Alota:
</t>
        </r>
        <r>
          <rPr>
            <sz val="9"/>
            <color indexed="81"/>
            <rFont val="Tahoma"/>
          </rPr>
          <t>No breakdown
page 27 9.67 &amp; 9.68
Policy DM4 of the Managing Development also requires 328sq.m of child play space for this
development. This is in accordance with the requirements set out in policy 3.6 of the London
Plan (2011) As detailed above in table 5, the application proposes 411sq.m of designated
child play space in this phase which exceeds this requirement. A condition on the design
and specification of the play space/equipment is recommended.</t>
        </r>
      </text>
    </comment>
    <comment ref="BN147" authorId="0">
      <text>
        <r>
          <rPr>
            <b/>
            <sz val="9"/>
            <color indexed="81"/>
            <rFont val="Tahoma"/>
          </rPr>
          <t>Sandra Alota:</t>
        </r>
        <r>
          <rPr>
            <sz val="9"/>
            <color indexed="81"/>
            <rFont val="Tahoma"/>
          </rPr>
          <t xml:space="preserve">
page 28 9.74
The proposal includes a total of 92 car parking spaces in these phases, with a total of 169
across the entire site, 2 of which are allocated for car club usage (located in Block A) and 19
allocated for disabled vehicle users. No additional parking is proposed as a result of the
uplift of 12 units. Also proposed are 36 motorcycle spaces across the site.</t>
        </r>
      </text>
    </comment>
    <comment ref="BO147" authorId="0">
      <text>
        <r>
          <rPr>
            <b/>
            <sz val="9"/>
            <color indexed="81"/>
            <rFont val="Tahoma"/>
          </rPr>
          <t xml:space="preserve">Sandra Alota:
</t>
        </r>
        <r>
          <rPr>
            <sz val="9"/>
            <color indexed="81"/>
            <rFont val="Tahoma"/>
          </rPr>
          <t>page 29 9.79</t>
        </r>
        <r>
          <rPr>
            <b/>
            <sz val="9"/>
            <color indexed="81"/>
            <rFont val="Tahoma"/>
          </rPr>
          <t xml:space="preserve">
</t>
        </r>
        <r>
          <rPr>
            <sz val="9"/>
            <color indexed="81"/>
            <rFont val="Tahoma"/>
          </rPr>
          <t>The 2010 scheme included a total of 756 cycle parking spaces (720 residential and 36
publically accessible).
page29 9.80
This application proposes a reduction in the cycle parking from 720 residential spaces to
711. This has arisen from the need to increase the size of the refuse store on the ground
floor to Block C.</t>
        </r>
      </text>
    </comment>
    <comment ref="BQ147" authorId="0">
      <text>
        <r>
          <rPr>
            <b/>
            <sz val="9"/>
            <color indexed="81"/>
            <rFont val="Tahoma"/>
          </rPr>
          <t>Sandra Alota:</t>
        </r>
        <r>
          <rPr>
            <sz val="9"/>
            <color indexed="81"/>
            <rFont val="Tahoma"/>
          </rPr>
          <t xml:space="preserve">
page 15 7.35
Officer comment: Given the maximum height of the buildings is 10 storeys, it is lower than
the 14 storeys agreed in the original application and as a result is not envisaged to disrupt
flight paths to London City Airport.</t>
        </r>
      </text>
    </comment>
    <comment ref="BS147" authorId="0">
      <text>
        <r>
          <rPr>
            <b/>
            <sz val="9"/>
            <color indexed="81"/>
            <rFont val="Tahoma"/>
          </rPr>
          <t>Sandra Alota:</t>
        </r>
        <r>
          <rPr>
            <sz val="9"/>
            <color indexed="81"/>
            <rFont val="Tahoma"/>
          </rPr>
          <t xml:space="preserve">
page 36 10.5
The likely
CIL payment associated with this development would be in the region of £203,000 and
could impact on the future s.106 obligations.</t>
        </r>
      </text>
    </comment>
    <comment ref="BC148" authorId="0">
      <text>
        <r>
          <rPr>
            <b/>
            <sz val="9"/>
            <color indexed="81"/>
            <rFont val="Tahoma"/>
          </rPr>
          <t>Sandra Alota:</t>
        </r>
        <r>
          <rPr>
            <sz val="9"/>
            <color indexed="81"/>
            <rFont val="Tahoma"/>
          </rPr>
          <t xml:space="preserve">
with amendment on Sept 27 2012 application page 1
The addition of a typical bedroom floor resulting in a further 20
bedrooms but no increase in height, a nominal reduction in
height of 880mm;</t>
        </r>
      </text>
    </comment>
    <comment ref="BN148" authorId="0">
      <text>
        <r>
          <rPr>
            <b/>
            <sz val="9"/>
            <color indexed="81"/>
            <rFont val="Tahoma"/>
          </rPr>
          <t>Sandra Alota:</t>
        </r>
        <r>
          <rPr>
            <sz val="9"/>
            <color indexed="81"/>
            <rFont val="Tahoma"/>
          </rPr>
          <t xml:space="preserve">
Sept 7 2012 page 18 8.33
Given the accessible location of the site, planning permission (PA/12/02099) was granted for
a car-free scheme. It was accepted that the public realm improvements outweighed the loss
of 6 public car parking spaces to the north of the site given the high accessibility of the site
and policy aims with regard to promoting sustainable transport modes.</t>
        </r>
      </text>
    </comment>
    <comment ref="BO148" authorId="0">
      <text>
        <r>
          <rPr>
            <b/>
            <sz val="9"/>
            <color indexed="81"/>
            <rFont val="Tahoma"/>
          </rPr>
          <t>Sandra Alota:</t>
        </r>
        <r>
          <rPr>
            <sz val="9"/>
            <color indexed="81"/>
            <rFont val="Tahoma"/>
          </rPr>
          <t xml:space="preserve">
Sept 7 2012 pdf
page 5 3.4
10) Full details of cycle parking to be submitted</t>
        </r>
      </text>
    </comment>
  </commentList>
</comments>
</file>

<file path=xl/sharedStrings.xml><?xml version="1.0" encoding="utf-8"?>
<sst xmlns="http://schemas.openxmlformats.org/spreadsheetml/2006/main" count="7080" uniqueCount="2073">
  <si>
    <t>House no &amp; street name</t>
  </si>
  <si>
    <t>Completion</t>
  </si>
  <si>
    <t>Postcode</t>
  </si>
  <si>
    <t>1 Fairmont Avenue</t>
  </si>
  <si>
    <t>E14 9PF</t>
  </si>
  <si>
    <t>6 Baltimore Wharf</t>
  </si>
  <si>
    <t>E14 9AQ</t>
  </si>
  <si>
    <t>The Boatyard (3)</t>
  </si>
  <si>
    <t>51 Cotall Street</t>
  </si>
  <si>
    <t>Spring 2015</t>
  </si>
  <si>
    <t>E14 6JX</t>
  </si>
  <si>
    <t>?</t>
  </si>
  <si>
    <t>2 Trafalgar Way</t>
  </si>
  <si>
    <t>Forthcoming</t>
  </si>
  <si>
    <t>E14 5SP</t>
  </si>
  <si>
    <t>Yabsley Street</t>
  </si>
  <si>
    <t>E14 9JU</t>
  </si>
  <si>
    <t>Lime Quay (1)</t>
  </si>
  <si>
    <t>466 Teviot Street</t>
  </si>
  <si>
    <t>E14 6QU</t>
  </si>
  <si>
    <t>Development Name</t>
  </si>
  <si>
    <t>Area</t>
  </si>
  <si>
    <t>Height (Storeys)</t>
  </si>
  <si>
    <t>Isle of Dogs</t>
  </si>
  <si>
    <t>Canary Wharf</t>
  </si>
  <si>
    <t>http://www.buildington.co.uk</t>
  </si>
  <si>
    <t>Blackwall</t>
  </si>
  <si>
    <t xml:space="preserve">Poplar </t>
  </si>
  <si>
    <t>30 Marsh Wall</t>
  </si>
  <si>
    <t>Planned</t>
  </si>
  <si>
    <t>E14 9FY</t>
  </si>
  <si>
    <t>Comment</t>
  </si>
  <si>
    <t>Next to floating Chinese restaurant</t>
  </si>
  <si>
    <t xml:space="preserve">Current office building, old NHS walk in centre </t>
  </si>
  <si>
    <t>Tower Hamlets website</t>
  </si>
  <si>
    <t>http://www.essentialliving.uk.com/developments/helix/</t>
  </si>
  <si>
    <t>http://www.telfordhomes.plc.uk/the-boatyard/</t>
  </si>
  <si>
    <t>By Limehouse cut</t>
  </si>
  <si>
    <t>http://www.telfordhomes.plc.uk/horizons</t>
  </si>
  <si>
    <t>Hertsmere Tower</t>
  </si>
  <si>
    <t>West India Dock Quay</t>
  </si>
  <si>
    <t>http://www.constructionenquirer.com/2013/11/15/race-takes-off-to-build-first-canary-wharf-resi-tower/</t>
  </si>
  <si>
    <t>New Wood Wharf</t>
  </si>
  <si>
    <t>http://www.constructionenquirer.com/2013/12/10/canary-wharf-revamps-vast-wood-wharf-scheme/</t>
  </si>
  <si>
    <t>Wood Wharf</t>
  </si>
  <si>
    <t>Planned 2017 first</t>
  </si>
  <si>
    <t>http://londonewcastle.com/developments/future/dollar-bay-canary-wharf-e14/</t>
  </si>
  <si>
    <t>Dollar Bay</t>
  </si>
  <si>
    <t>West India Quay</t>
  </si>
  <si>
    <t>Next to Blue bridge/Docklands Scouts</t>
  </si>
  <si>
    <t>On site of former pub, next to Landmark</t>
  </si>
  <si>
    <t>City Pride</t>
  </si>
  <si>
    <t>Island Point</t>
  </si>
  <si>
    <t>Westferry road</t>
  </si>
  <si>
    <t>Social housing part of City Pride development</t>
  </si>
  <si>
    <t>http://www.planningresource.co.uk/article/1192368/go-ahead-75-storey-docklands-tower</t>
  </si>
  <si>
    <t>15 Westferry Road, London</t>
  </si>
  <si>
    <t>E14 8JH</t>
  </si>
  <si>
    <t>Empty site close to pedestrian bridge to CW</t>
  </si>
  <si>
    <t>Arrowhead Quay</t>
  </si>
  <si>
    <t>163 Marsh Wall</t>
  </si>
  <si>
    <t>http://planreg.towerhamlets.gov.uk/WAM/findCaseFile.do?appNumber=PA%2F12%2F03315&amp;action=Search</t>
  </si>
  <si>
    <t>http://www.baltimorewharf.com</t>
  </si>
  <si>
    <t>http://planreg.towerhamlets.gov.uk/WAM/findCaseFile.do?appNumber=PA%2F13%2F01455&amp;action=Search</t>
  </si>
  <si>
    <t>Newfoundland/Diamond Tower</t>
  </si>
  <si>
    <t>Westferry / Heron Quay road</t>
  </si>
  <si>
    <t>E14 4JB</t>
  </si>
  <si>
    <t>E14 9SF</t>
  </si>
  <si>
    <t>&amp; http://planreg.towerhamlets.gov.uk/WAM/doc/Application%20Form-849740.pdf?extension=.pdf&amp;id=849740&amp;appid=&amp;location=VOLUME5&amp;contentType=application/pdf&amp;pageCount=1</t>
  </si>
  <si>
    <t>Cutty Sark House</t>
  </si>
  <si>
    <t>E14 9UW</t>
  </si>
  <si>
    <t>http://planreg.towerhamlets.gov.uk/WAM/findCaseFile.do?appNumber=PA%2F13%2F01606&amp;action=Search</t>
  </si>
  <si>
    <t>Islands Gardens Estate</t>
  </si>
  <si>
    <t>Manchester road</t>
  </si>
  <si>
    <t>http://planreg.towerhamlets.gov.uk/WAM/findCaseFile.do?appNumber=PA%2F12%2F01798&amp;action=Search</t>
  </si>
  <si>
    <t>Calders Wharf</t>
  </si>
  <si>
    <t>On hold?</t>
  </si>
  <si>
    <t>Asda, 151 East Ferry Road</t>
  </si>
  <si>
    <t>E14 3BT</t>
  </si>
  <si>
    <t>Asda re-development</t>
  </si>
  <si>
    <t>http://planreg.towerhamlets.gov.uk/WAM/findCaseFile.do?appNumber=PA%2F11%2F03670&amp;action=Search</t>
  </si>
  <si>
    <t>Building</t>
  </si>
  <si>
    <t>Total above</t>
  </si>
  <si>
    <t>Any questions please contact: Andrew Wood Mobile: 07710 486 873 Email: andrewwood17@me.com</t>
  </si>
  <si>
    <t>Source i.e. where information comes from</t>
  </si>
  <si>
    <t>Baltimore Tower</t>
  </si>
  <si>
    <t>Next to Islands Gardens Park/foot tunnel entrance</t>
  </si>
  <si>
    <t>Next to roundabout, not sure of name</t>
  </si>
  <si>
    <t>Will knock down MacDonalds and replace</t>
  </si>
  <si>
    <t>Total all Developments</t>
  </si>
  <si>
    <t>Demolition and expansion of small apartment block</t>
  </si>
  <si>
    <t>Next to Island Gardens DLR, demolition and expansion, 62 is net increase in units</t>
  </si>
  <si>
    <t>Close to Docklands museum, Greenland acquired?</t>
  </si>
  <si>
    <t>Lincoln Plaza</t>
  </si>
  <si>
    <t>http://www.galliardhomes.com/galliard-developments/development/?development=Lincoln-Plaza</t>
  </si>
  <si>
    <t>Late 2015</t>
  </si>
  <si>
    <t>Millharbour</t>
  </si>
  <si>
    <t>http://www.berkeley-southquay.co.uk</t>
  </si>
  <si>
    <t>E14 3RU</t>
  </si>
  <si>
    <t>http://planreg.towerhamlets.gov.uk/WAM/showCaseFile.do?appNumber=PA/12/02784</t>
  </si>
  <si>
    <t>Saunders Ness Road</t>
  </si>
  <si>
    <t>ASDA supermarket to be knocked down and replaced by new shop &amp; apartments</t>
  </si>
  <si>
    <t>South Quay Plaza</t>
  </si>
  <si>
    <t>183 Marsh Wall</t>
  </si>
  <si>
    <t>E14 9SR</t>
  </si>
  <si>
    <t>Planned?</t>
  </si>
  <si>
    <r>
      <t xml:space="preserve">This is an un-official &amp; personal list of developments that </t>
    </r>
    <r>
      <rPr>
        <u/>
        <sz val="12"/>
        <color theme="1"/>
        <rFont val="Arial"/>
      </rPr>
      <t>might</t>
    </r>
    <r>
      <rPr>
        <sz val="12"/>
        <color theme="1"/>
        <rFont val="Arial"/>
      </rPr>
      <t xml:space="preserve"> happen in the area based on Tower Hamlets Council planning information or public websites, however all information provided is linked to source documentation or websites</t>
    </r>
  </si>
  <si>
    <t>http://www.architectsjournal.co.uk/news/daily-news/-som-led-team-wins-planning-for-huge-leamouth-peninsula-scheme/8608033.article</t>
  </si>
  <si>
    <t>Leamouth Peninsula</t>
  </si>
  <si>
    <t>London City Island</t>
  </si>
  <si>
    <t>E14</t>
  </si>
  <si>
    <t>Five large buildings to east of East India DLR</t>
  </si>
  <si>
    <t>Angel House</t>
  </si>
  <si>
    <t>225 Marsh Wall</t>
  </si>
  <si>
    <t>http://planreg.towerhamlets.gov.uk/WAM/doc/Planning%20Statement-735007.pdf?extension=.pdf&amp;id=735007&amp;appid=&amp;location=VOLUME5&amp;contentType=application/pdf&amp;pageCount=1</t>
  </si>
  <si>
    <t>E14 9FW</t>
  </si>
  <si>
    <t>New Union Wharf</t>
  </si>
  <si>
    <t>Stewart Street</t>
  </si>
  <si>
    <t>Redevelopment, 399 units replacing 189 units, next to Thames river</t>
  </si>
  <si>
    <t>http://www.east-thames.co.uk/nuw</t>
  </si>
  <si>
    <t>E14 3JU</t>
  </si>
  <si>
    <t>40 Marsh Wall</t>
  </si>
  <si>
    <t>E14 9TP</t>
  </si>
  <si>
    <t>54 Marsh Wall</t>
  </si>
  <si>
    <t>Enquiry</t>
  </si>
  <si>
    <t>http://planreg.towerhamlets.gov.uk/WAM/showCaseFile.do;jsessionid=1C33EBD129AD06A634D72E88F9B1DC41?action=show&amp;appType=Planning&amp;appNumber=PA/13/02238</t>
  </si>
  <si>
    <t>http://planreg.towerhamlets.gov.uk/WAM/doc/Other-517508.pdf?extension=.pdf&amp;id=517508&amp;appid=&amp;location=VOLUME4&amp;contentType=&amp;pageCount=1</t>
  </si>
  <si>
    <t>http://www.emporis.com/complex/blackwall-yard-development-london-united-kingdom</t>
  </si>
  <si>
    <t>Five towers along river to the east of Reuters building, now a carpark</t>
  </si>
  <si>
    <t>Blackwall Yard</t>
  </si>
  <si>
    <t>E14 2EH</t>
  </si>
  <si>
    <t>Apartments / Units / Rooms</t>
  </si>
  <si>
    <t>Under construction includes hotel (100 rooms)</t>
  </si>
  <si>
    <t>Hotel (155 rooms) and two residential blocks</t>
  </si>
  <si>
    <t>Hotel only, 305 rooms plus business facilities</t>
  </si>
  <si>
    <t>Providence Tower</t>
  </si>
  <si>
    <t>Helix</t>
  </si>
  <si>
    <t>Horizons</t>
  </si>
  <si>
    <t xml:space="preserve">Next to South Quay DLR incl Tesco shop, </t>
  </si>
  <si>
    <t>Quay House</t>
  </si>
  <si>
    <t>Brand new proposal for residential tower</t>
  </si>
  <si>
    <t>Marsh Wall by Hilton</t>
  </si>
  <si>
    <t>Details from exhibition</t>
  </si>
  <si>
    <t xml:space="preserve">Undine Road </t>
  </si>
  <si>
    <t>Betty May Gray House</t>
  </si>
  <si>
    <t>12 houses, 29 disabled access apartments + 27 other apartments</t>
  </si>
  <si>
    <t>Virginia Quay</t>
  </si>
  <si>
    <t>Newport Avenue</t>
  </si>
  <si>
    <t>Planning</t>
  </si>
  <si>
    <t>Two towers where car park is now by council dump</t>
  </si>
  <si>
    <t>E14 9TN</t>
  </si>
  <si>
    <t>45 Millharbour</t>
  </si>
  <si>
    <t>Current small office / warehouse unit</t>
  </si>
  <si>
    <t>http://planreg.towerhamlets.gov.uk/WAM/findCaseFile.do;jsessionid=AB2AF9BC2328976C00784D7EA9C2AC30?appNumber=PA%2F11%2F00798&amp;action=Search</t>
  </si>
  <si>
    <t>E14 9TR</t>
  </si>
  <si>
    <t>47 Millharbour</t>
  </si>
  <si>
    <t>http://planreg.towerhamlets.gov.uk/WAM/findCaseFile.do;jsessionid=AB2AF9BC2328976C00784D7EA9C2AC30?appNumber=PA%2F10%2F01177&amp;action=Search</t>
  </si>
  <si>
    <t>49 Millharbour</t>
  </si>
  <si>
    <t>Millharbour &amp; Pepper St</t>
  </si>
  <si>
    <t>Current group of office buildings at end of Pepper st</t>
  </si>
  <si>
    <t>http://planreg.towerhamlets.gov.uk/WAM/findCaseFile.do;jsessionid=AB2AF9BC2328976C00784D7EA9C2AC30?appNumber=PA%2F11%2F00921&amp;action=Search</t>
  </si>
  <si>
    <t>31 Westferry Road</t>
  </si>
  <si>
    <t>Next to Aniseed restaurant</t>
  </si>
  <si>
    <t>E14 8BH</t>
  </si>
  <si>
    <t>Almost finished</t>
  </si>
  <si>
    <t>Next to Westferry DLR</t>
  </si>
  <si>
    <t>Salter Street</t>
  </si>
  <si>
    <t>17 Salter Street</t>
  </si>
  <si>
    <t>Hotel next to Westferry DLR</t>
  </si>
  <si>
    <t>E14 8JD</t>
  </si>
  <si>
    <t>2013-14</t>
  </si>
  <si>
    <t>2009-10</t>
  </si>
  <si>
    <t>Original budget</t>
  </si>
  <si>
    <t xml:space="preserve">Where the money comes from </t>
  </si>
  <si>
    <t>Westferry Printworks</t>
  </si>
  <si>
    <t>Westferry Road</t>
  </si>
  <si>
    <t>Print works</t>
  </si>
  <si>
    <t>http://www.thetimes.co.uk/tto/business/industries/construction-property/article4025686.ece</t>
  </si>
  <si>
    <t>2 Millharbour</t>
  </si>
  <si>
    <t>3 Millharbour</t>
  </si>
  <si>
    <t>Galliard where Nissan Taxi is now</t>
  </si>
  <si>
    <t>Limeharbour</t>
  </si>
  <si>
    <t>Email</t>
  </si>
  <si>
    <t>Opposite Crossharbour DLR replacing office block</t>
  </si>
  <si>
    <t>7 Limeharbour Telford</t>
  </si>
  <si>
    <t>Pembroke Real Estate/Rolfe Judd</t>
  </si>
  <si>
    <t>Canary Wharf Ward</t>
  </si>
  <si>
    <t>Properties completed 2011-2014</t>
  </si>
  <si>
    <t>Ward</t>
  </si>
  <si>
    <t>BCT</t>
  </si>
  <si>
    <t>CW</t>
  </si>
  <si>
    <t>IG</t>
  </si>
  <si>
    <t>L</t>
  </si>
  <si>
    <t>% Increase on 2011</t>
  </si>
  <si>
    <t>Increase</t>
  </si>
  <si>
    <t>Meridien Gate</t>
  </si>
  <si>
    <t>Marsh Wall</t>
  </si>
  <si>
    <t>http://www.makearchitects.com/media/news-and-events/140606-meridian-gate-planning-submission/</t>
  </si>
  <si>
    <t>Opposite Limeharbour/Skylines</t>
  </si>
  <si>
    <t>Island Gardens</t>
  </si>
  <si>
    <t>Blackwall &amp; Cubitt Town</t>
  </si>
  <si>
    <t>Cumulative Population</t>
  </si>
  <si>
    <t>New Total</t>
  </si>
  <si>
    <t>Total 2011 Census</t>
  </si>
  <si>
    <t>2011 Census by Ward</t>
  </si>
  <si>
    <t>Properties Planned by Development</t>
  </si>
  <si>
    <t>Number of units</t>
  </si>
  <si>
    <t>Estimated inhabitants</t>
  </si>
  <si>
    <t>Height (No. of storeys)</t>
  </si>
  <si>
    <t>Planned Increase</t>
  </si>
  <si>
    <t>Estimated Increase</t>
  </si>
  <si>
    <t>No. of Households/Units</t>
  </si>
  <si>
    <t>Residents</t>
  </si>
  <si>
    <t>Skylines 2/3 of original size</t>
  </si>
  <si>
    <t xml:space="preserve">Under construction </t>
  </si>
  <si>
    <t>+ New Properties in Development - information based on external information or planning applications</t>
  </si>
  <si>
    <t>+ Properties ripe for development - the numbers below are estimates based on plot size or estimates based on models seen</t>
  </si>
  <si>
    <t>Average</t>
  </si>
  <si>
    <t>0-15</t>
  </si>
  <si>
    <t>16-64</t>
  </si>
  <si>
    <t>65 +</t>
  </si>
  <si>
    <t>Open Market Studio 5 – 20%</t>
  </si>
  <si>
    <t>1 bed 20 – 40%</t>
  </si>
  <si>
    <t>2 bed 20 – 40%</t>
  </si>
  <si>
    <t>3+ bed 5 – 20%</t>
  </si>
  <si>
    <t>Intermediate 1 bed 45-55%</t>
  </si>
  <si>
    <t>2 bed 35-45%</t>
  </si>
  <si>
    <t>3+ bed 5-10%</t>
  </si>
  <si>
    <t>Affordable/Social Rented 1 bed 30%</t>
  </si>
  <si>
    <t>2 bed 25%</t>
  </si>
  <si>
    <t>3 bed 30%</t>
  </si>
  <si>
    <t>4+ bed 15%</t>
  </si>
  <si>
    <t xml:space="preserve">Residents by Age </t>
  </si>
  <si>
    <t>Children aged 0-15 per household</t>
  </si>
  <si>
    <t>Number of households Wood Wharf</t>
  </si>
  <si>
    <t>Estimated number of children Wood Wharf</t>
  </si>
  <si>
    <t>7 cohorts = Primary School</t>
  </si>
  <si>
    <t>5 cohorts - Secondary school</t>
  </si>
  <si>
    <t>Total</t>
  </si>
  <si>
    <t>Calculation of number of children living in Wood Wharf</t>
  </si>
  <si>
    <t>Based on Canary Wharf Ward 2011 Census results as most similar household mix to that of Wood Wharf i.e. social/private mix and high rise buildings</t>
  </si>
  <si>
    <t>Maximum capacity in planning application</t>
  </si>
  <si>
    <t>Number of children in each age group</t>
  </si>
  <si>
    <t>Number of households in ward</t>
  </si>
  <si>
    <t>for each household</t>
  </si>
  <si>
    <t xml:space="preserve">= 0.32 * 3,600 </t>
  </si>
  <si>
    <t>= 1.151 / 15</t>
  </si>
  <si>
    <t>5867, 715 of whom will be aged between 0-15 and are predicted to generate</t>
  </si>
  <si>
    <t>a demand for 390 school places</t>
  </si>
  <si>
    <t>Children Aged 0-15</t>
  </si>
  <si>
    <t>Per Household</t>
  </si>
  <si>
    <t>Number of occupants per household</t>
  </si>
  <si>
    <t>Number of children (age 0-15) per household</t>
  </si>
  <si>
    <t>Total Three Wards - Island Gardens, Canary Wharf, Blackwall &amp; Cubitt Town over next ten years</t>
  </si>
  <si>
    <t>Potential increase - No. on 2011 census</t>
  </si>
  <si>
    <t>Potential increase - % on 2011 census</t>
  </si>
  <si>
    <t>Residential developments underway, planned, being considered in E14 postcode in Canary Wharf / Blackwall / Isle of Dogs as at July 2014</t>
  </si>
  <si>
    <t>Including 1hotel (350 rooms), 2.57m sq ft offices, up to 3,600 homes (maximum number in application)</t>
  </si>
  <si>
    <t>Number of children aged 0-15</t>
  </si>
  <si>
    <t>Started</t>
  </si>
  <si>
    <t>Newfoundland/Diamond Tower - approved</t>
  </si>
  <si>
    <t>+ Properties ripe for development - the numbers below are estimates based on plot size or estimates based on models seen in exhibitions</t>
  </si>
  <si>
    <t>Providence Tower - under construction</t>
  </si>
  <si>
    <t>Baltimore Tower - under construction</t>
  </si>
  <si>
    <t>Current 5 storey office building - data centre will occupy one building</t>
  </si>
  <si>
    <t>Helix - replacing MacDonalds</t>
  </si>
  <si>
    <t>Horizons - under construction</t>
  </si>
  <si>
    <t>40 Marsh Wall - hotel not included in resident calculation</t>
  </si>
  <si>
    <t>Two residential towers where Nat West is now</t>
  </si>
  <si>
    <t>Angel House calculation does not include hotel</t>
  </si>
  <si>
    <t>Number of children 0-15 years of age</t>
  </si>
  <si>
    <t>2011 census</t>
  </si>
  <si>
    <t>Total 2024 Based on known developments</t>
  </si>
  <si>
    <t>Total 2024 Based on known + estimated developments</t>
  </si>
  <si>
    <t>Total 2024 - Based on known developments</t>
  </si>
  <si>
    <t>Number of 2 form primary entry schools (420 pupils)</t>
  </si>
  <si>
    <t>Number of secondary schools (1,200 pupils)</t>
  </si>
  <si>
    <t>School Requirements Calculations - Canary Wharf, Island Gardens, Blackwall &amp; Cubitt Town wards</t>
  </si>
  <si>
    <t>Primary School Calculation</t>
  </si>
  <si>
    <t>Secondary School Calculation</t>
  </si>
  <si>
    <t>Actual Schools</t>
  </si>
  <si>
    <t>No. of children Primary age</t>
  </si>
  <si>
    <t>No. of children Secondary age</t>
  </si>
  <si>
    <t>Modelling Assumptions</t>
  </si>
  <si>
    <t>Average no. of people per household</t>
  </si>
  <si>
    <t>Number of apartments</t>
  </si>
  <si>
    <t>Estimated inhabitants (people)</t>
  </si>
  <si>
    <t>Property Name - Location</t>
  </si>
  <si>
    <t>London City Island - Leamouth Peninsula</t>
  </si>
  <si>
    <t>Angel House - Marsh Wall</t>
  </si>
  <si>
    <t>Meridien Gate - Marsh Wall</t>
  </si>
  <si>
    <t>Dollar Bay by blue bridge</t>
  </si>
  <si>
    <t>Wood Wharf, Canary Wharf estate- maximum size</t>
  </si>
  <si>
    <t>ASDA re-development - property rights sold Sept 14</t>
  </si>
  <si>
    <t>New Union Wharf - under construction</t>
  </si>
  <si>
    <t>Other developments</t>
  </si>
  <si>
    <t xml:space="preserve">3 Millharbour </t>
  </si>
  <si>
    <t xml:space="preserve">City Pride, Marsh Wall </t>
  </si>
  <si>
    <t xml:space="preserve">South Quay Plaza, Marsh Wall </t>
  </si>
  <si>
    <t xml:space="preserve">2 Millharbour </t>
  </si>
  <si>
    <t>Westferry Printworks, Westferry</t>
  </si>
  <si>
    <t>Arrowhead Quay, Marsh Wall</t>
  </si>
  <si>
    <t xml:space="preserve">Hertsmere Tower, West India Quay </t>
  </si>
  <si>
    <t xml:space="preserve">Newfoundland/Diamond Tower </t>
  </si>
  <si>
    <r>
      <rPr>
        <b/>
        <sz val="12"/>
        <color theme="1"/>
        <rFont val="Calibri"/>
        <family val="2"/>
        <scheme val="minor"/>
      </rPr>
      <t>Note</t>
    </r>
    <r>
      <rPr>
        <sz val="12"/>
        <color theme="1"/>
        <rFont val="Calibri"/>
        <family val="2"/>
        <scheme val="minor"/>
      </rPr>
      <t xml:space="preserve"> - actual schools include Canary Wharf College 2 &amp; Westferry Print Works (does not include City Gateway) given that they are highly likely to go ahead</t>
    </r>
  </si>
  <si>
    <t>Wood Wharf, Canary Wharf estate - maximum size</t>
  </si>
  <si>
    <t>City Pride, Marsh Wall - right to light issue</t>
  </si>
  <si>
    <t>South Quay Plaza, Marsh Wall - December decision</t>
  </si>
  <si>
    <t>3 Millharbour - December decision</t>
  </si>
  <si>
    <t>2 Millharbour - November decision</t>
  </si>
  <si>
    <t>20?</t>
  </si>
  <si>
    <t>2010-15</t>
  </si>
  <si>
    <t>2015-20</t>
  </si>
  <si>
    <t>2020-2025</t>
  </si>
  <si>
    <t>Millwall</t>
  </si>
  <si>
    <t>Cubitt Town</t>
  </si>
  <si>
    <t>Blackwall &amp; Leamouth</t>
  </si>
  <si>
    <t>Total TH</t>
  </si>
  <si>
    <t>as a %</t>
  </si>
  <si>
    <t xml:space="preserve">Table 2.1: Alternative Growth Scenarios Scenario </t>
  </si>
  <si>
    <t xml:space="preserve">Estimated Population </t>
  </si>
  <si>
    <t xml:space="preserve">Option 1 </t>
  </si>
  <si>
    <t xml:space="preserve">Option 2 </t>
  </si>
  <si>
    <t xml:space="preserve">Option 3 </t>
  </si>
  <si>
    <t xml:space="preserve">Option 4 </t>
  </si>
  <si>
    <t xml:space="preserve">Option 5 </t>
  </si>
  <si>
    <t>Habitable Rooms/ hectare</t>
  </si>
  <si>
    <t>Source: Strategic Environmental Assessment Scoping Report for the South Quay Masterplan - Prepared by LUC on behalf of the London Borough of Tower Hamlets September 2014</t>
  </si>
  <si>
    <t>List of Key Buildings</t>
  </si>
  <si>
    <t>One Canada Square</t>
  </si>
  <si>
    <t>0 South Quay Plaza</t>
  </si>
  <si>
    <t>1 One Canada Square</t>
  </si>
  <si>
    <t>2 HSBC Tower</t>
  </si>
  <si>
    <t>3 33 Canada Square</t>
  </si>
  <si>
    <t>4 Heron Quay</t>
  </si>
  <si>
    <t>5 Riverside South</t>
  </si>
  <si>
    <t>6 North Quay 1</t>
  </si>
  <si>
    <t>7 Columbus Tower</t>
  </si>
  <si>
    <t>8 25 Churchill Place</t>
  </si>
  <si>
    <t>9 New Foundland</t>
  </si>
  <si>
    <t>10 Park Place</t>
  </si>
  <si>
    <t>11 Cross Rail</t>
  </si>
  <si>
    <t>12 Wood Wharf</t>
  </si>
  <si>
    <t>13 City Pride</t>
  </si>
  <si>
    <t>14 The Landmark</t>
  </si>
  <si>
    <t>15 30 Marsh Wall</t>
  </si>
  <si>
    <t>16 Arrowhead Quay</t>
  </si>
  <si>
    <t>17 Pan Peninsula</t>
  </si>
  <si>
    <t>18 Fidelity</t>
  </si>
  <si>
    <t>19 16 Ability Place</t>
  </si>
  <si>
    <t>20 Discovery Dock</t>
  </si>
  <si>
    <t>21 Manilla Street</t>
  </si>
  <si>
    <t>22 40 Marsh Wall</t>
  </si>
  <si>
    <t>23 Indescon Court II</t>
  </si>
  <si>
    <t>24 Baltimore Wharf</t>
  </si>
  <si>
    <t>25 Dollar Bay</t>
  </si>
  <si>
    <t>26 Angel House</t>
  </si>
  <si>
    <t>27 Thames Quay</t>
  </si>
  <si>
    <t>28 Helix/MacDonalds</t>
  </si>
  <si>
    <t>29 New Providence Wharf</t>
  </si>
  <si>
    <t>30 ASDA Crossharbour Town Centre</t>
  </si>
  <si>
    <t>31 New Union Close</t>
  </si>
  <si>
    <t>32 Turnberry Quay</t>
  </si>
  <si>
    <t>2011 Census population</t>
  </si>
  <si>
    <t>London Plan recommended level</t>
  </si>
  <si>
    <t>Alpha Square</t>
  </si>
  <si>
    <t>Actual population</t>
  </si>
  <si>
    <t>South Quay Plaza, Marsh Wall</t>
  </si>
  <si>
    <t xml:space="preserve">Arrowhead Quay, Marsh Wall </t>
  </si>
  <si>
    <t>The Tower, One St George Wharf</t>
  </si>
  <si>
    <t>Rank</t>
  </si>
  <si>
    <t>Storeys</t>
  </si>
  <si>
    <t>1 Canada Square</t>
  </si>
  <si>
    <t>Height (meter)</t>
  </si>
  <si>
    <t>Wood Wharf, Canary Wharf</t>
  </si>
  <si>
    <t>Meridian Gate, Marsh Wall</t>
  </si>
  <si>
    <t>Alpha Square, Marsh Wall</t>
  </si>
  <si>
    <t>Estimated developments</t>
  </si>
  <si>
    <t>Isle of Dogs Total</t>
  </si>
  <si>
    <t>2011-2104 estimate</t>
  </si>
  <si>
    <t>2011 Census</t>
  </si>
  <si>
    <t>Tallest Residential Towers in the UK</t>
  </si>
  <si>
    <t>Real height unknown</t>
  </si>
  <si>
    <t>City Tower, Nine Elms</t>
  </si>
  <si>
    <t>The Shard , London</t>
  </si>
  <si>
    <t>Office</t>
  </si>
  <si>
    <t>Hotel</t>
  </si>
  <si>
    <t>Complete</t>
  </si>
  <si>
    <t>The Pinnacle , London</t>
  </si>
  <si>
    <t>Retail</t>
  </si>
  <si>
    <t>Under Construction</t>
  </si>
  <si>
    <t>Emley Moor Transmitter , Huddersfield</t>
  </si>
  <si>
    <t>Masts</t>
  </si>
  <si>
    <t>None</t>
  </si>
  <si>
    <t>House 2 , London</t>
  </si>
  <si>
    <t>Residential</t>
  </si>
  <si>
    <t>-</t>
  </si>
  <si>
    <t>Pre Planning</t>
  </si>
  <si>
    <t>South Quay Plaza , London</t>
  </si>
  <si>
    <t>Proposed</t>
  </si>
  <si>
    <t>The Hertsmere , London</t>
  </si>
  <si>
    <t>One Canada Square , London</t>
  </si>
  <si>
    <t>City Pride , London</t>
  </si>
  <si>
    <t>Quay House , London</t>
  </si>
  <si>
    <t>The Leadenhall Building , London</t>
  </si>
  <si>
    <t>North Quay Tower 1 , London</t>
  </si>
  <si>
    <t>Newfoundland , London</t>
  </si>
  <si>
    <t>House 3 , London</t>
  </si>
  <si>
    <t>Wood Wharf A1 , London</t>
  </si>
  <si>
    <t>North Quay Tower 3 , London</t>
  </si>
  <si>
    <t>Heron Tower , London</t>
  </si>
  <si>
    <t>City Tower , London</t>
  </si>
  <si>
    <t>Approved</t>
  </si>
  <si>
    <t>Wood Wharf W07B , London</t>
  </si>
  <si>
    <t>HSBC World Headquarters , London</t>
  </si>
  <si>
    <t>Citigroup European Headquarters , London</t>
  </si>
  <si>
    <t>King Edward Tower , Liverpool</t>
  </si>
  <si>
    <t>Regal Tower , Birmingham</t>
  </si>
  <si>
    <t>1 Lansdowne Road , London</t>
  </si>
  <si>
    <t>Heron Quays West , London</t>
  </si>
  <si>
    <t>52-54 Lime Street , London</t>
  </si>
  <si>
    <t>VTP200 , Birmingham</t>
  </si>
  <si>
    <t>Observation Tower</t>
  </si>
  <si>
    <t>Wood Wharf W06 , London</t>
  </si>
  <si>
    <t>Meridian Gate , London</t>
  </si>
  <si>
    <t>Tower 42 , London</t>
  </si>
  <si>
    <t>Arrowhead Quay East Tower , London</t>
  </si>
  <si>
    <t xml:space="preserve">  Metres &gt; Feet</t>
  </si>
  <si>
    <t xml:space="preserve">  * Estimated height</t>
  </si>
  <si>
    <t>1 Lansdowne Road, Croydon</t>
  </si>
  <si>
    <t>Height (meters)</t>
  </si>
  <si>
    <t>Status</t>
  </si>
  <si>
    <t>Model developed by Andrew Wood, Tel: 07710 486 873, cllrandrewwood@gmail.com</t>
  </si>
  <si>
    <t>Glengall Quay, Millharbour</t>
  </si>
  <si>
    <t>City Pride, Marsh Wall</t>
  </si>
  <si>
    <t xml:space="preserve">Lincoln Plaza, Millharbour </t>
  </si>
  <si>
    <t xml:space="preserve">Quay House </t>
  </si>
  <si>
    <t>Alpha Square - 50 Marsh Wall</t>
  </si>
  <si>
    <t xml:space="preserve">54 Marsh Wall </t>
  </si>
  <si>
    <t xml:space="preserve">Angel House </t>
  </si>
  <si>
    <t xml:space="preserve">Meridien Gate </t>
  </si>
  <si>
    <t>Population increase on 2011</t>
  </si>
  <si>
    <t xml:space="preserve">ASDA re-development </t>
  </si>
  <si>
    <t>Wood Wharf - maximum size</t>
  </si>
  <si>
    <t>850?</t>
  </si>
  <si>
    <t>2011 Census Actual</t>
  </si>
  <si>
    <t>Under construction</t>
  </si>
  <si>
    <t>In planning process</t>
  </si>
  <si>
    <t>Town hall re-development (in Poplar)</t>
  </si>
  <si>
    <t>Total new developments</t>
  </si>
  <si>
    <t xml:space="preserve">Providence Tower </t>
  </si>
  <si>
    <t xml:space="preserve">30 Marsh Wall </t>
  </si>
  <si>
    <t>Planned Increase excl hotel rooms</t>
  </si>
  <si>
    <t>New developments since 2011 - over 200 units in size</t>
  </si>
  <si>
    <t>Stuck on right to light</t>
  </si>
  <si>
    <t>Approved but no water</t>
  </si>
  <si>
    <t>Planning application in</t>
  </si>
  <si>
    <t>Construction started</t>
  </si>
  <si>
    <t>Rejected but appeal possible</t>
  </si>
  <si>
    <t>Application submitted</t>
  </si>
  <si>
    <t>Public consultation started</t>
  </si>
  <si>
    <t xml:space="preserve">45 Millharbour </t>
  </si>
  <si>
    <t>Complete and open 2015</t>
  </si>
  <si>
    <t>Active developer interest</t>
  </si>
  <si>
    <t>On hold</t>
  </si>
  <si>
    <t>Consultation started</t>
  </si>
  <si>
    <t>Meridien Gate, Marsh Wall</t>
  </si>
  <si>
    <t>Open 2014</t>
  </si>
  <si>
    <t>Open summer 2010</t>
  </si>
  <si>
    <t xml:space="preserve">Pan Peninsula </t>
  </si>
  <si>
    <t xml:space="preserve">Landmark </t>
  </si>
  <si>
    <t>Open 2009 but people still moving in</t>
  </si>
  <si>
    <t>New Wood Wharf max. calculation hotel not incl.</t>
  </si>
  <si>
    <t xml:space="preserve">New Union Wharf </t>
  </si>
  <si>
    <t xml:space="preserve">7 Limeharbour Telford </t>
  </si>
  <si>
    <t xml:space="preserve">Dollar Bay </t>
  </si>
  <si>
    <t>Hercules Wharf, Union Wharf and Castle Wharf</t>
  </si>
  <si>
    <t>Quiet since 2012</t>
  </si>
  <si>
    <t>Rest of waterside South Quay east / Thames Quay</t>
  </si>
  <si>
    <t xml:space="preserve">Island Point </t>
  </si>
  <si>
    <t>Linked to City Pride</t>
  </si>
  <si>
    <t xml:space="preserve">Cutty Sark House </t>
  </si>
  <si>
    <t>Almost complete</t>
  </si>
  <si>
    <t xml:space="preserve">Calders Wharf </t>
  </si>
  <si>
    <t xml:space="preserve">Islands Gardens Estate </t>
  </si>
  <si>
    <t xml:space="preserve">Greenwich view </t>
  </si>
  <si>
    <t xml:space="preserve">Westerferry Circus - JP Morgan site </t>
  </si>
  <si>
    <t>Low rise office space by South Quay footbridge</t>
  </si>
  <si>
    <t>Samuda OHG redevelopment 550 units today</t>
  </si>
  <si>
    <t>Kingsbridge OHG redevelopment 250 units today</t>
  </si>
  <si>
    <t>Barkantine OHG redevelopment 710 units today</t>
  </si>
  <si>
    <t>St Johns OHG redevelopment 490 (?) units today</t>
  </si>
  <si>
    <t>242m</t>
  </si>
  <si>
    <t>239m</t>
  </si>
  <si>
    <t>218m</t>
  </si>
  <si>
    <t xml:space="preserve">      "                   "                        "              + estimated developments</t>
  </si>
  <si>
    <t xml:space="preserve">      "                   "                        "              + known developments</t>
  </si>
  <si>
    <t>South Quay Masterplan Total - original</t>
  </si>
  <si>
    <t>189m</t>
  </si>
  <si>
    <t>188m</t>
  </si>
  <si>
    <t>187m</t>
  </si>
  <si>
    <t>Density hrph</t>
  </si>
  <si>
    <t>Horizons (next to dump)</t>
  </si>
  <si>
    <t>Andrew Wood - Canary Wharf</t>
  </si>
  <si>
    <t>Andrew Cregan - Island Gardens</t>
  </si>
  <si>
    <t>Peter Golds - island Gardens</t>
  </si>
  <si>
    <t>Chris Chaplan - Blackwall &amp; Cubitt Town</t>
  </si>
  <si>
    <t>Dave Chesterton - Blackwall &amp; Cubitt Town</t>
  </si>
  <si>
    <t>Candida Ronald - Blackwall &amp; Cubitt Town</t>
  </si>
  <si>
    <t>Turnberry Quay and Lanark Square</t>
  </si>
  <si>
    <t>Density (hrph)</t>
  </si>
  <si>
    <t>Galliard</t>
  </si>
  <si>
    <t>Developer</t>
  </si>
  <si>
    <t>CWG</t>
  </si>
  <si>
    <t>Glengall Bridge Holdings Ltd in association with O'MAHONY PIKE and Metropolitan Workshop.</t>
  </si>
  <si>
    <t>LBS Properties and Meridian Property Holdings</t>
  </si>
  <si>
    <t>Chalegrove Properties</t>
  </si>
  <si>
    <t>Northern &amp; Shell Investments</t>
  </si>
  <si>
    <t>Ballymore</t>
  </si>
  <si>
    <t xml:space="preserve">Eco World Ballymore Holding Company Limited </t>
  </si>
  <si>
    <t>Berkeley Group</t>
  </si>
  <si>
    <t>McDonalds, Trafalgar Way Limited</t>
  </si>
  <si>
    <t>Telford Homes</t>
  </si>
  <si>
    <t>211m</t>
  </si>
  <si>
    <t>99m</t>
  </si>
  <si>
    <t>155m</t>
  </si>
  <si>
    <t>148m</t>
  </si>
  <si>
    <t>FEC</t>
  </si>
  <si>
    <t>127m</t>
  </si>
  <si>
    <t>Galliard &amp; Frogmore</t>
  </si>
  <si>
    <t>Tiller Road - Fairwater</t>
  </si>
  <si>
    <t>Setting</t>
  </si>
  <si>
    <t>Public Transport Accessibility Level (PTAL)</t>
  </si>
  <si>
    <t xml:space="preserve">                       0 to 1</t>
  </si>
  <si>
    <t>2 to 3</t>
  </si>
  <si>
    <t>4 to 6</t>
  </si>
  <si>
    <t>Suburban</t>
  </si>
  <si>
    <t>Central</t>
  </si>
  <si>
    <t xml:space="preserve">150-200 hr/ha </t>
  </si>
  <si>
    <t>150-250 hr/ha</t>
  </si>
  <si>
    <t>200-350 hr/ha</t>
  </si>
  <si>
    <t>3.8-4.6 hr/unit</t>
  </si>
  <si>
    <t>35-55 u/ha</t>
  </si>
  <si>
    <t>35-65 u/ha</t>
  </si>
  <si>
    <t>45-90 u/ha</t>
  </si>
  <si>
    <t>3.1-3.7 hr/unit</t>
  </si>
  <si>
    <t>40-65 u/ha</t>
  </si>
  <si>
    <t>40-80 u/ha</t>
  </si>
  <si>
    <t>55-115 u/ha</t>
  </si>
  <si>
    <t>2.7-3.0 hr/unit</t>
  </si>
  <si>
    <t>50-75 u/ha</t>
  </si>
  <si>
    <t>50-95 u/ha</t>
  </si>
  <si>
    <t>70-130 u/ha</t>
  </si>
  <si>
    <t>Urban                       150-250 hr/ha   200-450 hr/ha</t>
  </si>
  <si>
    <t>200-700 hr/ha</t>
  </si>
  <si>
    <t>3.8 -4.6 hr/unit</t>
  </si>
  <si>
    <t>45-120 u/ha</t>
  </si>
  <si>
    <t>45-185 u/ha</t>
  </si>
  <si>
    <t>55-145 u/ha</t>
  </si>
  <si>
    <t>55-225 u/ha</t>
  </si>
  <si>
    <t>70-170 u/ha</t>
  </si>
  <si>
    <t>70-260 u/ha</t>
  </si>
  <si>
    <t xml:space="preserve">           150-300 hr/ha    300-650 hr/ha</t>
  </si>
  <si>
    <t>650-1100 hr/ha</t>
  </si>
  <si>
    <t>35-80 u/ha</t>
  </si>
  <si>
    <t>65-170 u/ha</t>
  </si>
  <si>
    <t>140-290 u/ha</t>
  </si>
  <si>
    <t>40-100 u/ha</t>
  </si>
  <si>
    <t>80-210 u/ha</t>
  </si>
  <si>
    <t>175-355 u/ha</t>
  </si>
  <si>
    <t>50-110 u/hr</t>
  </si>
  <si>
    <t>100-240 u/ha</t>
  </si>
  <si>
    <t>215-405 u/ha</t>
  </si>
  <si>
    <t>145m</t>
  </si>
  <si>
    <t>147m</t>
  </si>
  <si>
    <t>Project Name</t>
  </si>
  <si>
    <t>Floors</t>
  </si>
  <si>
    <t>Primary Use</t>
  </si>
  <si>
    <t>Architect</t>
  </si>
  <si>
    <t>Borough</t>
  </si>
  <si>
    <t>1 Merchant Square</t>
  </si>
  <si>
    <t>Robin Partington Architects</t>
  </si>
  <si>
    <t>European Land Partnership Ltd</t>
  </si>
  <si>
    <t>Westminster</t>
  </si>
  <si>
    <t>1 Park Place</t>
  </si>
  <si>
    <t>–</t>
  </si>
  <si>
    <t>Horden Cherry Lea Architects</t>
  </si>
  <si>
    <t>Canary Wharf Group Plc</t>
  </si>
  <si>
    <t>Tower Hamlets</t>
  </si>
  <si>
    <t>Ian Simpson Architects</t>
  </si>
  <si>
    <t>100 Bishopsgate</t>
  </si>
  <si>
    <t>Mixed Use</t>
  </si>
  <si>
    <t>AMWB</t>
  </si>
  <si>
    <t>100 Bishopsgate Partnership</t>
  </si>
  <si>
    <t>City of London</t>
  </si>
  <si>
    <t>100 West Cromwell Road</t>
  </si>
  <si>
    <t>Benson + Forsyth</t>
  </si>
  <si>
    <t>Spen Hill Developments</t>
  </si>
  <si>
    <t>Kensington and Chelsea</t>
  </si>
  <si>
    <t>145 City Road Residential Building</t>
  </si>
  <si>
    <t>Make Architects</t>
  </si>
  <si>
    <t>Rocket Investments</t>
  </si>
  <si>
    <t>Hackney</t>
  </si>
  <si>
    <t>151 City Road</t>
  </si>
  <si>
    <t>Squire and Partners</t>
  </si>
  <si>
    <t>Endora Holdings Ltd</t>
  </si>
  <si>
    <t>199 Westminster Bridge Road</t>
  </si>
  <si>
    <t>Allford Hall Monaghan Morris</t>
  </si>
  <si>
    <t>Urbanest</t>
  </si>
  <si>
    <t>Lambeth</t>
  </si>
  <si>
    <t>2-­‐12 Stratford High Street (Block A)</t>
  </si>
  <si>
    <t>Jestico &amp; Whiles</t>
  </si>
  <si>
    <t>Newham</t>
  </si>
  <si>
    <t>20 Blackfriars Road (Office Tower)</t>
  </si>
  <si>
    <t>Wilkinson Eyre Architects</t>
  </si>
  <si>
    <t>Circleplane</t>
  </si>
  <si>
    <t>Southwark</t>
  </si>
  <si>
    <t>20 Blackfriars Road (Residential Tower)</t>
  </si>
  <si>
    <t>20 Fenchurch Street</t>
  </si>
  <si>
    <t>Rafael Vinoly</t>
  </si>
  <si>
    <t>Canary Wharf Group / Land Securities PLC</t>
  </si>
  <si>
    <t>206-­‐214 High Street</t>
  </si>
  <si>
    <t>MJP Architects</t>
  </si>
  <si>
    <t>Alumno Developments</t>
  </si>
  <si>
    <t>24 Tidal Basin Road</t>
  </si>
  <si>
    <t>SOM</t>
  </si>
  <si>
    <t>Hub Residential</t>
  </si>
  <si>
    <t>240 Blackfriars Road</t>
  </si>
  <si>
    <t>AHMM</t>
  </si>
  <si>
    <t>Great Ropemaker Partnership (Great Portland Estates + BP Pension Fund)</t>
  </si>
  <si>
    <t>250 City Road</t>
  </si>
  <si>
    <t>BUJ Architects</t>
  </si>
  <si>
    <t>Land Securities PLC</t>
  </si>
  <si>
    <t>Islington</t>
  </si>
  <si>
    <t>250 City Road (Tower 2)</t>
  </si>
  <si>
    <t>Foster + Partners</t>
  </si>
  <si>
    <t>21st Architecture</t>
  </si>
  <si>
    <t>3DMW</t>
  </si>
  <si>
    <t>30-­‐60 South Lambeth Road</t>
  </si>
  <si>
    <t>Feilden Clegg Bradley Studios</t>
  </si>
  <si>
    <t>Downing Developments</t>
  </si>
  <si>
    <t>36-­‐48 Albert Embankment</t>
  </si>
  <si>
    <t>OKTIS Holdings</t>
  </si>
  <si>
    <t>360 London, Newington Butts</t>
  </si>
  <si>
    <t>Rogers Stirk Harbour + Partners</t>
  </si>
  <si>
    <t>Mace / Essential Living</t>
  </si>
  <si>
    <t>399 Edgware Road</t>
  </si>
  <si>
    <t>Sheppard Robson</t>
  </si>
  <si>
    <t>Development Securities</t>
  </si>
  <si>
    <t>Brent</t>
  </si>
  <si>
    <t>4-­‐20 Edridge Road</t>
  </si>
  <si>
    <t>MDR Associates</t>
  </si>
  <si>
    <t>Edridge BV</t>
  </si>
  <si>
    <t>Croydon</t>
  </si>
  <si>
    <t>40 Leadenhall Street</t>
  </si>
  <si>
    <t>Henderson</t>
  </si>
  <si>
    <t>Accor</t>
  </si>
  <si>
    <t>52 Lime Street</t>
  </si>
  <si>
    <t>Kohn Pedersen Fox Associates</t>
  </si>
  <si>
    <t>WRBC Development UK Ltd</t>
  </si>
  <si>
    <t>60-­‐70 St Mary Axe</t>
  </si>
  <si>
    <t>Foggo Associates</t>
  </si>
  <si>
    <t>Targetfollow</t>
  </si>
  <si>
    <t>81 Black Prince Road</t>
  </si>
  <si>
    <t>Keith Williams Architects</t>
  </si>
  <si>
    <t>Ristoia Ltd</t>
  </si>
  <si>
    <t>A3 Wood Wharf</t>
  </si>
  <si>
    <t>Stanton Williams</t>
  </si>
  <si>
    <t>Canary Wharf Group</t>
  </si>
  <si>
    <t>Addicombe Road</t>
  </si>
  <si>
    <t>Allies and Morrison</t>
  </si>
  <si>
    <t>Royal Mail</t>
  </si>
  <si>
    <t>Aldgate Place (Tower 1)</t>
  </si>
  <si>
    <t>Barratt London / British Land</t>
  </si>
  <si>
    <t>Aldgate Place (Tower 2)</t>
  </si>
  <si>
    <t>Aldgate Place (Tower 3)</t>
  </si>
  <si>
    <t>Altitude</t>
  </si>
  <si>
    <t>BFLS</t>
  </si>
  <si>
    <t>Barratt Homes / Inoder</t>
  </si>
  <si>
    <t>Angel House, 225 Marsh Wall</t>
  </si>
  <si>
    <t>Jacobs Webber</t>
  </si>
  <si>
    <t>The Angel Group</t>
  </si>
  <si>
    <t>Arrowhead Quay (Tower 1)</t>
  </si>
  <si>
    <t>Glenn Howells Architects</t>
  </si>
  <si>
    <t>Ballymore Properties</t>
  </si>
  <si>
    <t>Arrowhead Quay (Tower 2)</t>
  </si>
  <si>
    <t>Skidmore Owing &amp; Merrill</t>
  </si>
  <si>
    <t>Frogmore / Galliard Homes</t>
  </si>
  <si>
    <t>Blackwall Reach (Building H)</t>
  </si>
  <si>
    <t>Metropolitan Workshop and Jestico &amp; Whiles</t>
  </si>
  <si>
    <t>Swan Housing Association and Countryside Properties</t>
  </si>
  <si>
    <t>Blackwall Reach (Building I)</t>
  </si>
  <si>
    <t>Blackwall Reach (Building K)</t>
  </si>
  <si>
    <t>Blackwall Reach (Building M)</t>
  </si>
  <si>
    <t>Bow Enterprise Park, Cranwell Close</t>
  </si>
  <si>
    <t>ORMS Architecture and Design</t>
  </si>
  <si>
    <t>Workspace Group</t>
  </si>
  <si>
    <t>Brent Cross Market Quarter MQ1 (1)</t>
  </si>
  <si>
    <t>Commercial</t>
  </si>
  <si>
    <t>B.X.C Development Partners</t>
  </si>
  <si>
    <t>Barnet</t>
  </si>
  <si>
    <t>Brent Cross Market Quarter MQ1 (2)</t>
  </si>
  <si>
    <t>Brent Cross West BXW1 (1)</t>
  </si>
  <si>
    <t>Brent Cross West BXW1 (2)</t>
  </si>
  <si>
    <t>Brent Cross West BXW2 (1)</t>
  </si>
  <si>
    <t>Brent Cross West BXW2 (2)</t>
  </si>
  <si>
    <t>Brent Terrace BT2 (1)</t>
  </si>
  <si>
    <t>Brent Terrace BT2 (2)</t>
  </si>
  <si>
    <t>Brent Terrace BT4 (1)</t>
  </si>
  <si>
    <t>Brickfields (Block J)</t>
  </si>
  <si>
    <t>Eric Parry Architects</t>
  </si>
  <si>
    <t>Helical Bar / Aviva Investors</t>
  </si>
  <si>
    <t>Hammersmith &amp; Fulham</t>
  </si>
  <si>
    <t>Broadway Chambers (Building 1)</t>
  </si>
  <si>
    <t>Telford Homes / Caraeno</t>
  </si>
  <si>
    <t>Broadway Chambers (Building 2)</t>
  </si>
  <si>
    <t>Telford Homes/ Careano</t>
  </si>
  <si>
    <t>Brook House, Cannon Rubber Factory, 881 High
Road</t>
  </si>
  <si>
    <t>KSS</t>
  </si>
  <si>
    <t>Newton Housing Trust</t>
  </si>
  <si>
    <t>Haringey</t>
  </si>
  <si>
    <t>Callis Yard Site</t>
  </si>
  <si>
    <t>Metropolis PD</t>
  </si>
  <si>
    <t>Inland Homes</t>
  </si>
  <si>
    <t>Greenwich</t>
  </si>
  <si>
    <t>Canaletto, 257 City Road</t>
  </si>
  <si>
    <t>UNStudio</t>
  </si>
  <si>
    <t>Groveworld</t>
  </si>
  <si>
    <t>Carmen Street</t>
  </si>
  <si>
    <t>Stock Woolstencroft Architects</t>
  </si>
  <si>
    <t>Chelsea Creek Tower</t>
  </si>
  <si>
    <t>Broadway Maylan</t>
  </si>
  <si>
    <t>St George</t>
  </si>
  <si>
    <t>Chelsea Waterfront, Lots Road Tower 1</t>
  </si>
  <si>
    <t>Farrells</t>
  </si>
  <si>
    <t>Hutchison Whampoa Properties</t>
  </si>
  <si>
    <t>Kensington and Chelsea /
Hammersmith and Fulham</t>
  </si>
  <si>
    <t>Chelsea Waterfront, Lots Road Tower 2</t>
  </si>
  <si>
    <t>City Forum (Tower 1)</t>
  </si>
  <si>
    <t>Berkeley Homes Plc</t>
  </si>
  <si>
    <t>City Forum (Tower 2)</t>
  </si>
  <si>
    <t>City Island (Building D), Leamouth Peninsula</t>
  </si>
  <si>
    <t>Ballymore Group</t>
  </si>
  <si>
    <t>City Island Building B), Leamouth Peninsula</t>
  </si>
  <si>
    <t>City Island Building C), Leamouth Peninsula</t>
  </si>
  <si>
    <t>City Island Building EG), Leamouth Peninsula</t>
  </si>
  <si>
    <t>City North (Tower 1)</t>
  </si>
  <si>
    <t>United House</t>
  </si>
  <si>
    <t>City North (Tower 2)</t>
  </si>
  <si>
    <t>Columbus Tower (Hertsmere)</t>
  </si>
  <si>
    <t>Ryan Corporation (UK)</t>
  </si>
  <si>
    <t>Convoys Wharf (Tower 1)</t>
  </si>
  <si>
    <t>Hutchinson Whampoa</t>
  </si>
  <si>
    <t>Lewisham</t>
  </si>
  <si>
    <t>Convoys Wharf (Tower 2)</t>
  </si>
  <si>
    <t>Convoys Wharf (Tower 3)</t>
  </si>
  <si>
    <t>Copeland School</t>
  </si>
  <si>
    <t>GMH Rock Townsend</t>
  </si>
  <si>
    <t>Copland Community School / Technology Centre Foundation</t>
  </si>
  <si>
    <t>Creekside Village East (Block 2)</t>
  </si>
  <si>
    <t>Ampurius NuHomes Investments Ltd</t>
  </si>
  <si>
    <t>Broadway Malyan</t>
  </si>
  <si>
    <t>Crown Wharf (Tower 1)</t>
  </si>
  <si>
    <t>Tower Properties</t>
  </si>
  <si>
    <t>Crown Wharf (Tower 2)</t>
  </si>
  <si>
    <t>Crown Wharf (Tower 3)</t>
  </si>
  <si>
    <t>Croydon College</t>
  </si>
  <si>
    <t>Darling Associates</t>
  </si>
  <si>
    <t>Pheonix Logistics / Croydon College</t>
  </si>
  <si>
    <t>Cuba Street Tower 1</t>
  </si>
  <si>
    <t>Status Unknown</t>
  </si>
  <si>
    <t>3D Reid / Gultekin Architecture</t>
  </si>
  <si>
    <t>Agaoglu Group</t>
  </si>
  <si>
    <t>Cuba Street Tower 2</t>
  </si>
  <si>
    <t>Decathlon</t>
  </si>
  <si>
    <t>Maccreanor Lavington / David Chipperfield</t>
  </si>
  <si>
    <t>Sellar</t>
  </si>
  <si>
    <t>Mount Anvill</t>
  </si>
  <si>
    <t>Doon Street Tower</t>
  </si>
  <si>
    <t>Lifschutz Davidson Sandilands</t>
  </si>
  <si>
    <t>Coin Street Community Builders</t>
  </si>
  <si>
    <t>Eagle House</t>
  </si>
  <si>
    <t>East India Dock Road (Block A)</t>
  </si>
  <si>
    <t>CZWG Architects</t>
  </si>
  <si>
    <t>Barratt Homes</t>
  </si>
  <si>
    <t>East India Dock Road (Block B)</t>
  </si>
  <si>
    <t>East India Dock Road (Block I)</t>
  </si>
  <si>
    <t>Eastern Lands EL1 (1)</t>
  </si>
  <si>
    <t>Eastern Lands EL1 (2)</t>
  </si>
  <si>
    <t>Eastern Lands EL3 (1)</t>
  </si>
  <si>
    <t>Eastern Lands EL3 (2)</t>
  </si>
  <si>
    <t>Eastern Lands EL4 (1)</t>
  </si>
  <si>
    <t>Eileen House, 80-­‐94 Newington Causeway</t>
  </si>
  <si>
    <t>Merryvale No.6 International</t>
  </si>
  <si>
    <t>Elizabeth House</t>
  </si>
  <si>
    <t>David Chipperfield Architects</t>
  </si>
  <si>
    <t>London &amp; Regional / Chelsfield PLC</t>
  </si>
  <si>
    <t>Fielden House</t>
  </si>
  <si>
    <t>Renzo Piano Building workshop</t>
  </si>
  <si>
    <t>First Avenue</t>
  </si>
  <si>
    <t>Fletcher Priest Architecture Ltd</t>
  </si>
  <si>
    <t>Westfield</t>
  </si>
  <si>
    <t>Four Seasons Hotel and Residences at Heron Plaza</t>
  </si>
  <si>
    <t>PLP Architecture</t>
  </si>
  <si>
    <t>Heron International PLP</t>
  </si>
  <si>
    <t>Fresh Wharf (Block H)</t>
  </si>
  <si>
    <t>Glenn Howells Architects / Jestico and Whiles</t>
  </si>
  <si>
    <t>Countryside Properties / Fresh Wharf Developments</t>
  </si>
  <si>
    <t>Barking and Dagenham</t>
  </si>
  <si>
    <t>Gagarin Tower, 55 Southwark Street</t>
  </si>
  <si>
    <t>Studio 44</t>
  </si>
  <si>
    <t>Henry George Ltd</t>
  </si>
  <si>
    <t>Glasshouse Gardens (Tower One)</t>
  </si>
  <si>
    <t>Lend Lease/ LCR</t>
  </si>
  <si>
    <t>Glasshouse Gardens (Tower Two)</t>
  </si>
  <si>
    <t>Goodmans Fields</t>
  </si>
  <si>
    <t>Berkeley Homes</t>
  </si>
  <si>
    <t>Greenwich Hotel</t>
  </si>
  <si>
    <t>Queensgate Investments and Arora Hotels</t>
  </si>
  <si>
    <t>Greenwich Hotel, Apartments</t>
  </si>
  <si>
    <t>Greenwich Peninsula Riverside (1)</t>
  </si>
  <si>
    <t>20+</t>
  </si>
  <si>
    <t>Aukett Swanke</t>
  </si>
  <si>
    <t>Knight Dragon</t>
  </si>
  <si>
    <t>Greenwich Peninsula Riverside (2)</t>
  </si>
  <si>
    <t>Greenwich Peninsula Riverside (3)</t>
  </si>
  <si>
    <t>Greenwich Peninsula Riverside (4)</t>
  </si>
  <si>
    <t>Greenwich Peninsula Riverside Plot M103</t>
  </si>
  <si>
    <t>CJCT Architects</t>
  </si>
  <si>
    <t>Greenwich Peninsula Riverside Plot M104</t>
  </si>
  <si>
    <t>Pilbrow and Partners</t>
  </si>
  <si>
    <t>Greenwich Peninsula Riverside Plot M121</t>
  </si>
  <si>
    <t>Hale Village</t>
  </si>
  <si>
    <t>Flanagan Lawrence</t>
  </si>
  <si>
    <t>Lee Valley Estates</t>
  </si>
  <si>
    <t>Hampton House (Building 1), 20 Albert
Embankment</t>
  </si>
  <si>
    <t>St James Group</t>
  </si>
  <si>
    <t>Hampton House (Building 2), 20 Albert
Embankment</t>
  </si>
  <si>
    <t>Heron Quays West</t>
  </si>
  <si>
    <t>Adamson Associates</t>
  </si>
  <si>
    <t>Hornsey Road Arches</t>
  </si>
  <si>
    <t>Ashburton Trading Ltd (actually Arsenal
Football Club)</t>
  </si>
  <si>
    <t>Imperial West Tower</t>
  </si>
  <si>
    <t>University</t>
  </si>
  <si>
    <t>Imperial College London</t>
  </si>
  <si>
    <t>Indescon Court Phase 2</t>
  </si>
  <si>
    <t>Oracle</t>
  </si>
  <si>
    <t>Karma House</t>
  </si>
  <si>
    <t>HTA</t>
  </si>
  <si>
    <t>Donban</t>
  </si>
  <si>
    <t>Keybridge House (Building A)</t>
  </si>
  <si>
    <t>British Telecommunications PLC</t>
  </si>
  <si>
    <t>Keybridge House (Building F)</t>
  </si>
  <si>
    <t>King's Reach Tower</t>
  </si>
  <si>
    <t>King's Reach Estates Ltd / CIT Real Estate
LLP</t>
  </si>
  <si>
    <t>Ladbroke Green</t>
  </si>
  <si>
    <t>Peabody Trust</t>
  </si>
  <si>
    <t>Lewisham Gateway</t>
  </si>
  <si>
    <t>PRP Architects</t>
  </si>
  <si>
    <t>Muse Developments</t>
  </si>
  <si>
    <t>Lexicon, 261 City Road</t>
  </si>
  <si>
    <t>Love Lane Tower</t>
  </si>
  <si>
    <t>HLM Architects</t>
  </si>
  <si>
    <t>Love Street Woolwich</t>
  </si>
  <si>
    <t>Maiden Lane</t>
  </si>
  <si>
    <t>LB Camden</t>
  </si>
  <si>
    <t>Camden</t>
  </si>
  <si>
    <t>Manhattan Loft Gardens</t>
  </si>
  <si>
    <t>Manhattan Loft Corporation</t>
  </si>
  <si>
    <t>Manilla Street</t>
  </si>
  <si>
    <t>Dexter Moren Architects</t>
  </si>
  <si>
    <t>Ardmore Group</t>
  </si>
  <si>
    <t>Mast Quay (Phase 2 Block E)</t>
  </si>
  <si>
    <t>Upchurch Associates</t>
  </si>
  <si>
    <t>Comer Homes Group</t>
  </si>
  <si>
    <t>Merano, 30-­‐34 Albert Embankment</t>
  </si>
  <si>
    <t>Morello Tower</t>
  </si>
  <si>
    <t>Menta</t>
  </si>
  <si>
    <t>New Bondway (Tower 1)</t>
  </si>
  <si>
    <t>Kohn Pedersen Fox Associates/Tavernor</t>
  </si>
  <si>
    <t>McLaren Property</t>
  </si>
  <si>
    <t>New Bondway (Tower 2)</t>
  </si>
  <si>
    <t>New Covent Garden Market (Apex Site -­‐  A1)</t>
  </si>
  <si>
    <t>VSM (NCGM) Ltd</t>
  </si>
  <si>
    <t>Wandsworth</t>
  </si>
  <si>
    <t>New Covent Garden Market (Apex Site -­‐  A2)</t>
  </si>
  <si>
    <t>New Covent Garden Market (Apex Site -­‐  A4)</t>
  </si>
  <si>
    <t>New Covent Garden Market (Northern Site -­‐   N1)</t>
  </si>
  <si>
    <t>New Covent Garden Market (Northern Site -­‐   N6)</t>
  </si>
  <si>
    <t>New Covent Garden Market (Northern Site -­‐   N7)</t>
  </si>
  <si>
    <t>New Covent Garden Market (Northern Site -­‐   N9)</t>
  </si>
  <si>
    <t>New Covent Garden Market( Northern Site -­‐  N8)</t>
  </si>
  <si>
    <t>Newfoundland</t>
  </si>
  <si>
    <t>Horden Cherry Lee Architects</t>
  </si>
  <si>
    <t>Nine Elms Parkside Tower</t>
  </si>
  <si>
    <t>Royal Mail Group</t>
  </si>
  <si>
    <t>Nine Elms Sainsburys (Tower G)</t>
  </si>
  <si>
    <t>Rolfe Judd Architects</t>
  </si>
  <si>
    <t>Sainsbury's Supermarket Ltd</t>
  </si>
  <si>
    <t>Nine Elms Sainsburys (Tower K)</t>
  </si>
  <si>
    <t>North Quay (Tower 1)</t>
  </si>
  <si>
    <t>Pelli Clarke Pelli Architects</t>
  </si>
  <si>
    <t>North Quay (Tower 3)</t>
  </si>
  <si>
    <t>One Blackfriars</t>
  </si>
  <si>
    <t>St George South London</t>
  </si>
  <si>
    <t>One Commercial Street</t>
  </si>
  <si>
    <t>Broadway Maylan / John Seifert Architects Ltd</t>
  </si>
  <si>
    <t>Redrow Homes / Julius Properties</t>
  </si>
  <si>
    <t>One Crown Place</t>
  </si>
  <si>
    <t>AlloyMtd Group</t>
  </si>
  <si>
    <t>One Lansdowne Road</t>
  </si>
  <si>
    <t>Guildhouse-­‐Rosepride</t>
  </si>
  <si>
    <t>One Nine Elms, City Tower</t>
  </si>
  <si>
    <t>Green Property Ltd. / CIT Group</t>
  </si>
  <si>
    <t>One Nine Elms, River Tower</t>
  </si>
  <si>
    <t>One The Elephant</t>
  </si>
  <si>
    <t>Lend Lease</t>
  </si>
  <si>
    <t>One Tower Bridge (Block 5)</t>
  </si>
  <si>
    <t>Berkeley Homes PLC</t>
  </si>
  <si>
    <t>One Wood Wharf</t>
  </si>
  <si>
    <t>40+</t>
  </si>
  <si>
    <t>Herzog &amp; de Meuron</t>
  </si>
  <si>
    <t>Paddington Triangle</t>
  </si>
  <si>
    <t>Grimshaw Architects</t>
  </si>
  <si>
    <t>Crossrail</t>
  </si>
  <si>
    <t>Pinchin Street Tower</t>
  </si>
  <si>
    <t>HTA Architects</t>
  </si>
  <si>
    <t>The Environment Trust</t>
  </si>
  <si>
    <t>Poplar Business Park, Prestons Road (Block C)</t>
  </si>
  <si>
    <t>Barton Wilmore</t>
  </si>
  <si>
    <t>Workspace Group PLC</t>
  </si>
  <si>
    <t>Prince Consort House, 27-­‐29 Albert Embankment</t>
  </si>
  <si>
    <t>David Walker Architects</t>
  </si>
  <si>
    <t>Jones Lang LaSalle</t>
  </si>
  <si>
    <t>Principal Place</t>
  </si>
  <si>
    <t>Brookfield</t>
  </si>
  <si>
    <t>Quay House, 2 Admiral Way</t>
  </si>
  <si>
    <t>Investin</t>
  </si>
  <si>
    <t>Ram Brewery</t>
  </si>
  <si>
    <t>2018
/201 9</t>
  </si>
  <si>
    <t>EPR Architects</t>
  </si>
  <si>
    <t>Greenland Holdings Group</t>
  </si>
  <si>
    <t>Reuters, Blackwall Yard (Block A)</t>
  </si>
  <si>
    <t>Blaxmill Ltd</t>
  </si>
  <si>
    <t>Riverlight</t>
  </si>
  <si>
    <t>Royal Arsenal Riverside Block A/ B</t>
  </si>
  <si>
    <t>Royal Arsenal Riverside Block C</t>
  </si>
  <si>
    <t>Ruskin Square Phase 1</t>
  </si>
  <si>
    <t>Places for People</t>
  </si>
  <si>
    <t>Ruskin Square, Croydon R03</t>
  </si>
  <si>
    <t>Foster + Partners &amp; AHMM</t>
  </si>
  <si>
    <t>Stanhope and Schroders</t>
  </si>
  <si>
    <t>Sampson House and Ludgate House (Ludgate B)</t>
  </si>
  <si>
    <t>The Carlyle Group</t>
  </si>
  <si>
    <t>Sampson House and Ludgate House (Sampson House B)</t>
  </si>
  <si>
    <t>Sampson House and Ludgate House (Sampson House C)</t>
  </si>
  <si>
    <t>Shell Centre (Building B3)</t>
  </si>
  <si>
    <t>Shell Centre (Building B4A)</t>
  </si>
  <si>
    <t>Shell Centre (Building B4B)</t>
  </si>
  <si>
    <t>Shell Centre (Building B6)</t>
  </si>
  <si>
    <t>South Bank Tower, 185 Park Street</t>
  </si>
  <si>
    <t>Squire + Partners</t>
  </si>
  <si>
    <t>Delancey</t>
  </si>
  <si>
    <t>St George's House, Park Lane</t>
  </si>
  <si>
    <t>Legal &amp; General</t>
  </si>
  <si>
    <t>Station Quarter SQ1 (1)</t>
  </si>
  <si>
    <t>Station Quarter SQ1 (2)</t>
  </si>
  <si>
    <t>Station Quarter SQ1 (3)</t>
  </si>
  <si>
    <t>Station Quarter SQ2 (1)</t>
  </si>
  <si>
    <t>Station Quarter SQ2 (2)</t>
  </si>
  <si>
    <t>Stratford Plaza</t>
  </si>
  <si>
    <t>Allies and Morrison / Stock Woolstencroft</t>
  </si>
  <si>
    <t>Stratford Tower</t>
  </si>
  <si>
    <t>MJP</t>
  </si>
  <si>
    <t>Alumno</t>
  </si>
  <si>
    <t>Surrey Canal Triangle -­‐  Bolina North (Building 1)</t>
  </si>
  <si>
    <t>Studio Egret West / Sew / Townshend Landscape Architects</t>
  </si>
  <si>
    <t>Renewal</t>
  </si>
  <si>
    <t>Surrey Canal Triangle -­‐   Local Landmark Building (Building  2)</t>
  </si>
  <si>
    <t>Surrey Canal Triangle -­‐   Stadium Avenue Marker Building 1 (Building 3)</t>
  </si>
  <si>
    <t>Surrey Canal Triangle -­‐   Stadium Avenue Marker Building 2 (Building 4)</t>
  </si>
  <si>
    <t>Taberner House &amp; The Queens Gardens</t>
  </si>
  <si>
    <t>Croydon Council Urban Regeneration Vehicle (CCURV) / Essential Living</t>
  </si>
  <si>
    <t>Tesco Bromley by Bow</t>
  </si>
  <si>
    <t>Collado Collins</t>
  </si>
  <si>
    <t>Tesco Stores Ltd</t>
  </si>
  <si>
    <t>The Apex</t>
  </si>
  <si>
    <t>Darling Associates Architecture</t>
  </si>
  <si>
    <t>Frogmore Estates</t>
  </si>
  <si>
    <t>Ealing</t>
  </si>
  <si>
    <t>The Blades</t>
  </si>
  <si>
    <t>Assael Architecture</t>
  </si>
  <si>
    <t>Ministry of Sound</t>
  </si>
  <si>
    <t>The Leadenhall Building</t>
  </si>
  <si>
    <t>British Land / Oxford Properties</t>
  </si>
  <si>
    <t>The Meridian Tower</t>
  </si>
  <si>
    <t>Patel Taylor</t>
  </si>
  <si>
    <t>Peninsula Quays Ltd</t>
  </si>
  <si>
    <t>The Peninsula Tower</t>
  </si>
  <si>
    <t>RTKL Associates</t>
  </si>
  <si>
    <t>Arora International</t>
  </si>
  <si>
    <t>The Pinnacle</t>
  </si>
  <si>
    <t>Arab Investments</t>
  </si>
  <si>
    <t>The Pump House</t>
  </si>
  <si>
    <t>Studio RHE</t>
  </si>
  <si>
    <t>The Quill</t>
  </si>
  <si>
    <t>SPPARC Architecture</t>
  </si>
  <si>
    <t>Kings College London / Investream</t>
  </si>
  <si>
    <t>The Signal Building</t>
  </si>
  <si>
    <t>Neobrand</t>
  </si>
  <si>
    <t>The Stage Shoreditch</t>
  </si>
  <si>
    <t>Pringle Brandon Perkins+Will</t>
  </si>
  <si>
    <t>Plough Yard Developments</t>
  </si>
  <si>
    <t>The Tower at Saffron Square</t>
  </si>
  <si>
    <t>The Tower GWQ</t>
  </si>
  <si>
    <t>Barratt West London</t>
  </si>
  <si>
    <t>Hounslow</t>
  </si>
  <si>
    <t>Trafalgar Way (Tower 1)</t>
  </si>
  <si>
    <t>Essential Living</t>
  </si>
  <si>
    <t>Trafalgar Way (Tower 2)</t>
  </si>
  <si>
    <t>Tribeca Square</t>
  </si>
  <si>
    <t>PKS Architects</t>
  </si>
  <si>
    <t>Oakmayne Properties / Delancey</t>
  </si>
  <si>
    <t>Trocoll House, Wakering Road</t>
  </si>
  <si>
    <t>Coplan Estates</t>
  </si>
  <si>
    <t>Unite Stratford</t>
  </si>
  <si>
    <t>BDP</t>
  </si>
  <si>
    <t>UNITE Group</t>
  </si>
  <si>
    <t>Vauxhall Cross Island (Tower 1)</t>
  </si>
  <si>
    <t>Kylun Ltd</t>
  </si>
  <si>
    <t>Vauxhall Cross Island (Tower 2)</t>
  </si>
  <si>
    <t>Vauxhall Sky Gardens</t>
  </si>
  <si>
    <t>Carey Jones Architects</t>
  </si>
  <si>
    <t>Fraser Property Development UK</t>
  </si>
  <si>
    <t>Vauxhall Square (Miles Street South)</t>
  </si>
  <si>
    <t>CLS Holdings</t>
  </si>
  <si>
    <t>Vauxhall Square (North)</t>
  </si>
  <si>
    <t>Vauxhall Square (South)</t>
  </si>
  <si>
    <t>Vauxhall Square (Wendle Court)</t>
  </si>
  <si>
    <t>Vicarage Field</t>
  </si>
  <si>
    <t>LagMAR Holdings</t>
  </si>
  <si>
    <t>Wayland House</t>
  </si>
  <si>
    <t>Network Housing Group</t>
  </si>
  <si>
    <t>Wembley Plot W03</t>
  </si>
  <si>
    <t>Quintain Estates</t>
  </si>
  <si>
    <t>West End Green</t>
  </si>
  <si>
    <t>West End Green Property Ltd</t>
  </si>
  <si>
    <t>West Hendon Estate (Block E2)</t>
  </si>
  <si>
    <t>Barratt Metropolitan</t>
  </si>
  <si>
    <t>Westfield Tower, Ariel Way</t>
  </si>
  <si>
    <t>Westfield Shoppingtowns Limited</t>
  </si>
  <si>
    <t>Willis Street Tower</t>
  </si>
  <si>
    <t>Poplar HARCA</t>
  </si>
  <si>
    <t>Woodberry Down</t>
  </si>
  <si>
    <t>Fletcher Priest / Rolfe Judd</t>
  </si>
  <si>
    <t>Woolwich Town Centre Tower</t>
  </si>
  <si>
    <t>Tesco Stores Ltd / St James Investment</t>
  </si>
  <si>
    <t>SOURCE: New London Architecture</t>
  </si>
  <si>
    <t>http://www.newlondonarchitecture.org/news.php</t>
  </si>
  <si>
    <t>http://www.newlondonarchitecture.org/news/2014/march/independent-study-reveals-over-230-new-towers-planned-for-london-skyline</t>
  </si>
  <si>
    <t>http://www.theguardian.com/news/datablog/2014/mar/13/the-ever-changing-story-of-londons-skyline?view=desktop</t>
  </si>
  <si>
    <t>2015 Update</t>
  </si>
  <si>
    <t>Building Name</t>
  </si>
  <si>
    <t>City</t>
  </si>
  <si>
    <t>Height (m)</t>
  </si>
  <si>
    <t>Completed</t>
  </si>
  <si>
    <t>Use</t>
  </si>
  <si>
    <t>The Shard</t>
  </si>
  <si>
    <t>London (GB)</t>
  </si>
  <si>
    <t>residential / hotel / office</t>
  </si>
  <si>
    <t>No. 1 Undershaft</t>
  </si>
  <si>
    <t>office</t>
  </si>
  <si>
    <t>22 Bishopsgate</t>
  </si>
  <si>
    <t>Hertsmere House</t>
  </si>
  <si>
    <t>residential</t>
  </si>
  <si>
    <t>City Pride Tower</t>
  </si>
  <si>
    <t>serviced apartments / residential</t>
  </si>
  <si>
    <t>110 Bishopgate</t>
  </si>
  <si>
    <t>North Quay Tower 1</t>
  </si>
  <si>
    <t>South Quay Plaza Tower 1</t>
  </si>
  <si>
    <t>Wood Wharf A1</t>
  </si>
  <si>
    <t>25 Canada Square</t>
  </si>
  <si>
    <t>City Tower</t>
  </si>
  <si>
    <t>residential / office / retail</t>
  </si>
  <si>
    <t>8 Canada Square</t>
  </si>
  <si>
    <t>52-54 Lime Street</t>
  </si>
  <si>
    <t>Wood Wharf E3/E4</t>
  </si>
  <si>
    <t>Arrowhead Quay Tower A</t>
  </si>
  <si>
    <t>NatWest Tower</t>
  </si>
  <si>
    <t>Tower 42</t>
  </si>
  <si>
    <t>30 St Mary Axe</t>
  </si>
  <si>
    <t>Taberner House</t>
  </si>
  <si>
    <t>Vauxhall Cross Island Tower 1</t>
  </si>
  <si>
    <t>hotel</t>
  </si>
  <si>
    <t>other / office</t>
  </si>
  <si>
    <t>Cherry Orchard Road Tower</t>
  </si>
  <si>
    <t>Arrowhead Quay Tower B</t>
  </si>
  <si>
    <t>Ludgate House</t>
  </si>
  <si>
    <t>residential / office</t>
  </si>
  <si>
    <t>40 Leadenhall</t>
  </si>
  <si>
    <t>New Bondway North Tower</t>
  </si>
  <si>
    <t>Beetham Tower</t>
  </si>
  <si>
    <t>Manchester (GB)</t>
  </si>
  <si>
    <t>residential / hotel</t>
  </si>
  <si>
    <t>Vauxhall Square North</t>
  </si>
  <si>
    <t>Vauxhall Square South</t>
  </si>
  <si>
    <t>Principal Place Building 2</t>
  </si>
  <si>
    <t>Broadgate Tower</t>
  </si>
  <si>
    <t>River Tower</t>
  </si>
  <si>
    <t>20 Fenchurch</t>
  </si>
  <si>
    <t>Wood Wharf A3</t>
  </si>
  <si>
    <t>One Churchill Place</t>
  </si>
  <si>
    <t>South Bank Tower</t>
  </si>
  <si>
    <t>25 Bank Street</t>
  </si>
  <si>
    <t>40 Bank Street</t>
  </si>
  <si>
    <t>10 Upper Bank Street</t>
  </si>
  <si>
    <t>Canada Water</t>
  </si>
  <si>
    <t>Number</t>
  </si>
  <si>
    <t>Source: http://skyscrapercenter.com</t>
  </si>
  <si>
    <t>Yes</t>
  </si>
  <si>
    <t>In Forum area?</t>
  </si>
  <si>
    <t>Construction</t>
  </si>
  <si>
    <t>List of tallest buildings in the UK from Skyscraper.com - Top 50 which does include Proposed buildings</t>
  </si>
  <si>
    <t>List of Buildings 2014 from New London Architecture by Borough</t>
  </si>
  <si>
    <t>Greenland</t>
  </si>
  <si>
    <t>Rejected</t>
  </si>
  <si>
    <t>Approved with changes</t>
  </si>
  <si>
    <t>Right to light</t>
  </si>
  <si>
    <r>
      <rPr>
        <strike/>
        <sz val="10"/>
        <color rgb="FF000000"/>
        <rFont val="Verdana"/>
      </rPr>
      <t>Ashbourne Beech</t>
    </r>
    <r>
      <rPr>
        <sz val="10"/>
        <color rgb="FF000000"/>
        <rFont val="Verdana"/>
      </rPr>
      <t xml:space="preserve"> Arzan Wealth</t>
    </r>
  </si>
  <si>
    <t>ASDA Crossharbour District Centre (Building B)</t>
  </si>
  <si>
    <t>Arzan Wealth</t>
  </si>
  <si>
    <t>No. of apartments</t>
  </si>
  <si>
    <t xml:space="preserve">New Wood Wharf </t>
  </si>
  <si>
    <t xml:space="preserve">40 Marsh Wall </t>
  </si>
  <si>
    <t>London City Island, Leamouth</t>
  </si>
  <si>
    <t xml:space="preserve">Newfoundland, Canary Wharf </t>
  </si>
  <si>
    <t>Newfoundland, Canary Wharf</t>
  </si>
  <si>
    <t>Hammersmith</t>
  </si>
  <si>
    <t>Kensington &amp; Chelsea</t>
  </si>
  <si>
    <t>Applications</t>
  </si>
  <si>
    <t>Permissions</t>
  </si>
  <si>
    <t>Completions</t>
  </si>
  <si>
    <t>London Development Pipeline 2004-2014 (private units only)</t>
  </si>
  <si>
    <t>Developments of 10 units or more</t>
  </si>
  <si>
    <t>Starts</t>
  </si>
  <si>
    <t>Barking &amp; Dagenham</t>
  </si>
  <si>
    <t>Inner London Total</t>
  </si>
  <si>
    <t>Outer London Total</t>
  </si>
  <si>
    <t>Rejected at 1st SDC meeting</t>
  </si>
  <si>
    <t>221m</t>
  </si>
  <si>
    <t>North Quay, Canary Wharf</t>
  </si>
  <si>
    <t>New Union Wharf (incremental units)</t>
  </si>
  <si>
    <t>54 Marsh Wall, Nat West office</t>
  </si>
  <si>
    <t>220m</t>
  </si>
  <si>
    <t>Turkish former Ballymore, GLA opposed?</t>
  </si>
  <si>
    <t>Cuba Street - hotel &amp; apartments</t>
  </si>
  <si>
    <t>As a % of total</t>
  </si>
  <si>
    <t>Source: http://www.estatesgazette.com/egi-about/london-residential-market-analysis-2015/</t>
  </si>
  <si>
    <t>Small London Boroughs combined</t>
  </si>
  <si>
    <t>Nineteen of the top 50 are in the Forum area or in Canary Wharf, real % is higher as some on the list are unlikely to happen</t>
  </si>
  <si>
    <t>Criterion?</t>
  </si>
  <si>
    <t>137m</t>
  </si>
  <si>
    <t>Glengall Bridge, Millharbour</t>
  </si>
  <si>
    <t>Tune Hotel, Hertsmere Rd in 2 buildings</t>
  </si>
  <si>
    <t>Novotel 40 Marsh Wall - hotel not included in resident calculation</t>
  </si>
  <si>
    <t>Alpha Square - 50 Marsh Wall FEC, 250 room hotel</t>
  </si>
  <si>
    <t>London City Island, 13 buildings</t>
  </si>
  <si>
    <t>New application required</t>
  </si>
  <si>
    <t>OHG/Argent un-confirmed but not contradicted</t>
  </si>
  <si>
    <t>Other smaller developments, rumours or buildings or finishing between 2011-2104</t>
  </si>
  <si>
    <t>Height (feet</t>
  </si>
  <si>
    <r>
      <t>Major Developments</t>
    </r>
    <r>
      <rPr>
        <sz val="14"/>
        <color theme="1"/>
        <rFont val="Calibri"/>
        <scheme val="minor"/>
      </rPr>
      <t xml:space="preserve">            (see the full list on our website, www.isleofdogsforum.org.uk)</t>
    </r>
  </si>
  <si>
    <t xml:space="preserve">Novotel 40 Marsh Wall </t>
  </si>
  <si>
    <t>River boundary &amp; river bus stop</t>
  </si>
  <si>
    <t>SQMP area start</t>
  </si>
  <si>
    <t>Traffic</t>
  </si>
  <si>
    <t>Herons Quay drilling 5pm to 6pm Monday to Friday and Saturday morning, can be heard 800 meters away</t>
  </si>
  <si>
    <t>Stop - Landmark social housing, children play area &amp; people leaving</t>
  </si>
  <si>
    <t>30 Marshwall, old NHS walk through centre</t>
  </si>
  <si>
    <t>Stop at top of steps–Turkish empty site, Alpha Square development, Novotel, North Pole pub</t>
  </si>
  <si>
    <t>Natwest – two new towers</t>
  </si>
  <si>
    <t>Arrowhead Quay – noise impact</t>
  </si>
  <si>
    <t>Bridge to CW – half of the old bridge, cycling, prams, 2021, closures for boats</t>
  </si>
  <si>
    <t>Proposals for 1980’s offices</t>
  </si>
  <si>
    <t>Hilton hotel back entrance route</t>
  </si>
  <si>
    <t>Stop – Galliard, Indescon, SQP, half built Hilton, Tesco 2</t>
  </si>
  <si>
    <t>Green space in SQMP</t>
  </si>
  <si>
    <t>Tesco 3</t>
  </si>
  <si>
    <t>Three towers in model</t>
  </si>
  <si>
    <t>Meridian Gate</t>
  </si>
  <si>
    <t>EECF</t>
  </si>
  <si>
    <t>Stop – Wood Wharf, Blackwall, bridge, Dollar bay</t>
  </si>
  <si>
    <t>Cubitt Town Library</t>
  </si>
  <si>
    <t>ASDA</t>
  </si>
  <si>
    <t>Island Health</t>
  </si>
  <si>
    <t>Tesco 5</t>
  </si>
  <si>
    <t>Playspace</t>
  </si>
  <si>
    <t>Stop – Pepper bridge</t>
  </si>
  <si>
    <t>Glengall Bridge</t>
  </si>
  <si>
    <t>Apartment price in window</t>
  </si>
  <si>
    <t>Westferry print works</t>
  </si>
  <si>
    <t>Data centre</t>
  </si>
  <si>
    <t>Barkantine</t>
  </si>
  <si>
    <t>Sir John McDougall – who uses</t>
  </si>
  <si>
    <t>Riverwalkway</t>
  </si>
  <si>
    <t>Quarterdeck CCTV</t>
  </si>
  <si>
    <t>Alpha Grove CC</t>
  </si>
  <si>
    <t>Crossrail – wrong side for IofD residents with poor connections to Poplar, bus route issues</t>
  </si>
  <si>
    <t>North Quay – being marketed, new hoarding!, 2.3m sq feet last empty big office space in London</t>
  </si>
  <si>
    <t>Billingsgate Fish Market – future of?</t>
  </si>
  <si>
    <t>Hard boundaries i.e. six lane road on northern side, only 5 crossing points (1 tunnel, 2 bridges)</t>
  </si>
  <si>
    <t>Marriott Hotel, residential &amp; serviced apartments</t>
  </si>
  <si>
    <t>Hertsmere Road - Residential, museum, cinema, gym</t>
  </si>
  <si>
    <t>West India Quay apartments, bars &amp; museum - listed</t>
  </si>
  <si>
    <t>Salvation Army facility</t>
  </si>
  <si>
    <t>Stop overlooking JP  Morgan – 1 road, 4 CWG building, City Pride, Cascades, JP Morgan, cycling routes</t>
  </si>
  <si>
    <t>Page</t>
  </si>
  <si>
    <t>CWG boundary with Forum area</t>
  </si>
  <si>
    <t>16, 18, 19</t>
  </si>
  <si>
    <t>Site allocation boundary Millenium Quarter</t>
  </si>
  <si>
    <t>Site allocation enter Marsh Wall East</t>
  </si>
  <si>
    <t>Residential &amp; chair of residents committee</t>
  </si>
  <si>
    <t>9, 21, 22</t>
  </si>
  <si>
    <t>12, 19, 29</t>
  </si>
  <si>
    <t>6, 11, 14, 31</t>
  </si>
  <si>
    <t>GP surgery - Island * 2, Docklands, Barkantine</t>
  </si>
  <si>
    <t>Samuda – future of and history, ship building</t>
  </si>
  <si>
    <t>St Johns park &amp; children travelling from nearby developments</t>
  </si>
  <si>
    <t>St Johns Community Centre - critical infrastructure, always full</t>
  </si>
  <si>
    <t>School Cubitt Town</t>
  </si>
  <si>
    <t>Site allocation ASDA / Crossharbour District Centre</t>
  </si>
  <si>
    <t>Bus stop and turn around - enough for the future?</t>
  </si>
  <si>
    <t>Petrol station replacement</t>
  </si>
  <si>
    <t>School Seven Mills</t>
  </si>
  <si>
    <t>Playspace does not exist, scooters</t>
  </si>
  <si>
    <t>Parking never to be had</t>
  </si>
  <si>
    <t>Pedestrian zones</t>
  </si>
  <si>
    <t>Schools * 2 including</t>
  </si>
  <si>
    <t>Barkantine GP surgery</t>
  </si>
  <si>
    <t>Walk Reminder of Issues</t>
  </si>
  <si>
    <t>Approved by GLA last week</t>
  </si>
  <si>
    <t>Construction started, government have lent CWG £200m to develop</t>
  </si>
  <si>
    <t>In consultation and pre-planning, hotel, school &amp; apartments</t>
  </si>
  <si>
    <t>Not in area</t>
  </si>
  <si>
    <t>Approved by Tower Hamlets Council 2015</t>
  </si>
  <si>
    <t>Approved by Tower Hamlets Council 2014</t>
  </si>
  <si>
    <t>Consultation started for new residential only development by Greenland, Chinese stated owned developer, site has planning permission</t>
  </si>
  <si>
    <t>Approved by GLA, Council breaking residents 'Right to light' to allow development</t>
  </si>
  <si>
    <t>Application submitted to Tower Hamlets Council</t>
  </si>
  <si>
    <t>Estimate based on last planning application for the site</t>
  </si>
  <si>
    <t>Rumour &amp; estimate based on developers models</t>
  </si>
  <si>
    <t>Proposed, Appeal to Secretary of State</t>
  </si>
  <si>
    <t>Rumour, Ballymore based next door</t>
  </si>
  <si>
    <t>40?</t>
  </si>
  <si>
    <t>146.5m</t>
  </si>
  <si>
    <t>Cuba &amp; Manilla next to Landmark</t>
  </si>
  <si>
    <t>PTAL</t>
  </si>
  <si>
    <t>Density uph</t>
  </si>
  <si>
    <t xml:space="preserve">Newfoundland Tower </t>
  </si>
  <si>
    <t>Height</t>
  </si>
  <si>
    <t>Units</t>
  </si>
  <si>
    <t>Hectares</t>
  </si>
  <si>
    <t>Consultation started May 2015</t>
  </si>
  <si>
    <t>Barkantine OHG redevelopment 769 units today</t>
  </si>
  <si>
    <t>St Johns OHG redevelopment 607 units today</t>
  </si>
  <si>
    <t>Samuda OHG redevelopment 517 units today</t>
  </si>
  <si>
    <t>Kingsbridge OHG redevelopment 134 units today</t>
  </si>
  <si>
    <t>210m</t>
  </si>
  <si>
    <t>65?</t>
  </si>
  <si>
    <t>St Johns</t>
  </si>
  <si>
    <t>Samuda</t>
  </si>
  <si>
    <t>Kingsbridge</t>
  </si>
  <si>
    <t>Original Number of Homes</t>
  </si>
  <si>
    <t>New Number of Homes</t>
  </si>
  <si>
    <t>Increase %</t>
  </si>
  <si>
    <t>Increase in Homes</t>
  </si>
  <si>
    <t>Demolition started</t>
  </si>
  <si>
    <t>Approved &amp; sales started</t>
  </si>
  <si>
    <t>Cubitt Property Holdings</t>
  </si>
  <si>
    <t>Being re-worked by developer</t>
  </si>
  <si>
    <t>Planning application submitted</t>
  </si>
  <si>
    <t>BUPA - Alpha Square</t>
  </si>
  <si>
    <t>Ballymore development Cuba street</t>
  </si>
  <si>
    <t>Candida/Dave hand over</t>
  </si>
  <si>
    <t>Residential on Garfield St - right to light issues</t>
  </si>
  <si>
    <t>Cannon Street Workshops - listed</t>
  </si>
  <si>
    <t>Hotel - two blocks</t>
  </si>
  <si>
    <t>Hertsmere Tower - tallest in UK, no tree's, 12 car parking spaces, social housing mix</t>
  </si>
  <si>
    <t>Look back at boundary with Limehouse Forum</t>
  </si>
  <si>
    <t>Tesco 1 - first of many Tesco's but with no appropriate road for offloading</t>
  </si>
  <si>
    <t>Quay House – rejected but what will happen next</t>
  </si>
  <si>
    <t>SQP 3rd tower</t>
  </si>
  <si>
    <t>Angel House and 225 Marsh Wall</t>
  </si>
  <si>
    <t>Tesco 4 by roundabout</t>
  </si>
  <si>
    <t>St Johns estate - Project Stone</t>
  </si>
  <si>
    <t>Crossharbour DLR access issues</t>
  </si>
  <si>
    <t>Alpha Grove</t>
  </si>
  <si>
    <t>Millharbour developments</t>
  </si>
  <si>
    <t>Site visit by SDC planned</t>
  </si>
  <si>
    <t>OHG</t>
  </si>
  <si>
    <t>No. of hotel rooms</t>
  </si>
  <si>
    <t>People still moving in 2011</t>
  </si>
  <si>
    <t>assuming similar social housing % and unit sizes</t>
  </si>
  <si>
    <t>Estimate of Population Increase in Island Wards - 10 years from 2014 projection as at 26th June 2015</t>
  </si>
  <si>
    <t>1.32 including office</t>
  </si>
  <si>
    <t xml:space="preserve">The site area is 1.32 and the application proposes888 units (2301 habitable rooms). Therefore, the proposed density is 1743 habitable rooms per hectare (672 units per hectare). When taking into account the remaining office building the habitable rooms per hectare is 2140 </t>
  </si>
  <si>
    <t>Approved, stuck on right to light</t>
  </si>
  <si>
    <t>2nd public meeting in July</t>
  </si>
  <si>
    <t>1st public meeting in July</t>
  </si>
  <si>
    <t>3rd public consultation in June</t>
  </si>
  <si>
    <t>Application submitted, gone quiet</t>
  </si>
  <si>
    <t>Novotel 40 Marsh Wall</t>
  </si>
  <si>
    <t>Office approved, possible residential as well</t>
  </si>
  <si>
    <t>On hold, office approved</t>
  </si>
  <si>
    <t>1st public meeting in June</t>
  </si>
  <si>
    <t>1st public meeting in May</t>
  </si>
  <si>
    <t>No.</t>
  </si>
  <si>
    <t>Brand/Name</t>
  </si>
  <si>
    <t>Location</t>
  </si>
  <si>
    <t>Star</t>
  </si>
  <si>
    <t>Rooms</t>
  </si>
  <si>
    <t>Marriott</t>
  </si>
  <si>
    <t>Tune (2 buildings)</t>
  </si>
  <si>
    <t>Hertsmere Road</t>
  </si>
  <si>
    <t>Four Seasons</t>
  </si>
  <si>
    <t>Westferry Circus</t>
  </si>
  <si>
    <t>Britannia Intl</t>
  </si>
  <si>
    <t>Marsh Wall W</t>
  </si>
  <si>
    <t>Hilton</t>
  </si>
  <si>
    <t>Novotel</t>
  </si>
  <si>
    <t>Ibis</t>
  </si>
  <si>
    <t>Radisson Blu</t>
  </si>
  <si>
    <t>Travelodge</t>
  </si>
  <si>
    <t>East India</t>
  </si>
  <si>
    <t>assumption for modelling purposes (based on 2011 Census, 2.03 in Canary Wharf ward)</t>
  </si>
  <si>
    <t>Jemstock site to north of Hilton hotel - half built</t>
  </si>
  <si>
    <t>Horizons, Prestons Road (next to dump)</t>
  </si>
  <si>
    <t>Baltimore Tower, Limeharbour</t>
  </si>
  <si>
    <t xml:space="preserve">7 Limeharbour, Telford </t>
  </si>
  <si>
    <t>Dollar Bay, Marsh Wall</t>
  </si>
  <si>
    <t>Boatmans House, Selsdon Way</t>
  </si>
  <si>
    <t>Helix, Prestons Roundabout - replacing MacDonalds</t>
  </si>
  <si>
    <t>Approved by THC</t>
  </si>
  <si>
    <t>People moving in</t>
  </si>
  <si>
    <t>of which THC approved developments</t>
  </si>
  <si>
    <t>Expected Increase 2014 onwards</t>
  </si>
  <si>
    <t>assumption for modelling purposes (Quay House 27.6% versus census 32%)</t>
  </si>
  <si>
    <t>of which approved as at 26th June 2015</t>
  </si>
  <si>
    <t>No.of hotel rooms</t>
  </si>
  <si>
    <t>New Wood Wharf max. calculation hotel estimate</t>
  </si>
  <si>
    <t>estimate</t>
  </si>
  <si>
    <t>Notes</t>
  </si>
  <si>
    <t>3/4</t>
  </si>
  <si>
    <t>213.5m</t>
  </si>
  <si>
    <t>86.6m</t>
  </si>
  <si>
    <t>6a</t>
  </si>
  <si>
    <t>142m</t>
  </si>
  <si>
    <t>In process</t>
  </si>
  <si>
    <t>Density HRPH</t>
  </si>
  <si>
    <t>Density UPH</t>
  </si>
  <si>
    <t>% in excess of recommended limit</t>
  </si>
  <si>
    <t xml:space="preserve">Newfoundland Tower, Westferry Rd </t>
  </si>
  <si>
    <t>Horizons, Prestons Rd</t>
  </si>
  <si>
    <t xml:space="preserve">Providence Tower, Blackwall </t>
  </si>
  <si>
    <t>Scheme</t>
  </si>
  <si>
    <t>Recommended       HRPH</t>
  </si>
  <si>
    <t>Density of latest approved or about to be approved schemes on the Isle of Dogs &amp; Blackwall</t>
  </si>
  <si>
    <t>HRPH = Habitable rooms per hectare</t>
  </si>
  <si>
    <t>UPH = Units per hectare</t>
  </si>
  <si>
    <t>Comments</t>
  </si>
  <si>
    <t>Height (m) AOD</t>
  </si>
  <si>
    <t>Height (ft) AOD</t>
  </si>
  <si>
    <t>May be re-submitted</t>
  </si>
  <si>
    <t>Helix, Prestons Roundabout</t>
  </si>
  <si>
    <t>Indicative scheme</t>
  </si>
  <si>
    <t>Total/Average</t>
  </si>
  <si>
    <t>Resubmitted by Ballymore</t>
  </si>
  <si>
    <t>Resubmitted</t>
  </si>
  <si>
    <t>South Quay Plaza 3 extension</t>
  </si>
  <si>
    <t>Newfoundland Tower</t>
  </si>
  <si>
    <t>7 Limeharbour</t>
  </si>
  <si>
    <t>% in excess of 1,100</t>
  </si>
  <si>
    <t>Density       UPH</t>
  </si>
  <si>
    <t>Approved developments</t>
  </si>
  <si>
    <t>CIL 1</t>
  </si>
  <si>
    <t>Cil 3</t>
  </si>
  <si>
    <t xml:space="preserve">Average </t>
  </si>
  <si>
    <t>CIL at £35 per sq m</t>
  </si>
  <si>
    <t>CIL at £200 per sq m</t>
  </si>
  <si>
    <t>Difference</t>
  </si>
  <si>
    <t>Avge Size Apartment sq m</t>
  </si>
  <si>
    <t>Number of private units approximately 70%</t>
  </si>
  <si>
    <t>CIL at £65 per sq m</t>
  </si>
  <si>
    <t>CIL Zone</t>
  </si>
  <si>
    <t>Project Stone - One Housing Group &amp; Implications of not changing CIL boundaries</t>
  </si>
  <si>
    <t xml:space="preserve">Existing CIL on Island </t>
  </si>
  <si>
    <t>New Island wide CIL at £200 per sq m</t>
  </si>
  <si>
    <t>Rejected but appeal expected</t>
  </si>
  <si>
    <t>Number of units by type and mix (social rented, affordable, private)</t>
  </si>
  <si>
    <t>Estimated population of those units</t>
  </si>
  <si>
    <t>Number of children estimated to be on site using GLA calculation</t>
  </si>
  <si>
    <t>component only)</t>
  </si>
  <si>
    <t>dates)</t>
  </si>
  <si>
    <t>Size in hectares (for the residential sections)</t>
  </si>
  <si>
    <t>Additional facilities to be provided on site i.e. retail, D1 etc.</t>
  </si>
  <si>
    <t>Size of green spaces (in addition to child play space) in square meters (split between ground and elevated sections)</t>
  </si>
  <si>
    <t>Car parking spaces (with disabled spaces shown separately)</t>
  </si>
  <si>
    <t>Number of units designed for disabled and / or elderly use S106 by category of spend or TH CIL contribution (total £ value) Height in meters AOD of each unit</t>
  </si>
  <si>
    <t>Size in hectares</t>
  </si>
  <si>
    <t>Case Officer</t>
  </si>
  <si>
    <t>p88, s8.358</t>
  </si>
  <si>
    <t>p49, s8.68</t>
  </si>
  <si>
    <t>p80, s8.295</t>
  </si>
  <si>
    <t>p79 s8.829</t>
  </si>
  <si>
    <t>p61, s8.152</t>
  </si>
  <si>
    <t>p69 8.205</t>
  </si>
  <si>
    <t>p69 8.204</t>
  </si>
  <si>
    <t>p44 s8.37</t>
  </si>
  <si>
    <t>p45 s8.38</t>
  </si>
  <si>
    <t>Not there</t>
  </si>
  <si>
    <t>P1</t>
  </si>
  <si>
    <t>Meeting date</t>
  </si>
  <si>
    <t>Where found</t>
  </si>
  <si>
    <t>5 to 3</t>
  </si>
  <si>
    <t>E14 xxx</t>
  </si>
  <si>
    <t>Site 1 Land at 3 Millharbour and Site 2 Land at 6, 7 and 8 South Quay Square, South</t>
  </si>
  <si>
    <t>Nasser Farooq</t>
  </si>
  <si>
    <t>PA/14/03195</t>
  </si>
  <si>
    <t>Actual</t>
  </si>
  <si>
    <t>http://moderngov.towerhamlets.gov.uk/ieListDocuments.aspx?CId=360&amp;MId=5803&amp;Ver=4</t>
  </si>
  <si>
    <t>Will be in £ format</t>
  </si>
  <si>
    <t>Be careful to take the highest and final number</t>
  </si>
  <si>
    <t>Be careful to take the final number</t>
  </si>
  <si>
    <t>You may have more then one PTAL number so quote range</t>
  </si>
  <si>
    <t>Some developmets will appear up to 3 times, put latest date</t>
  </si>
  <si>
    <t>Canary Wharf, Limehouse, Poplar, Island Gardens or Blackwall &amp; Cubitt Town</t>
  </si>
  <si>
    <t>Andrew</t>
  </si>
  <si>
    <t>Sandra</t>
  </si>
  <si>
    <t>Formula</t>
  </si>
  <si>
    <t>Who will do</t>
  </si>
  <si>
    <t>Web-links</t>
  </si>
  <si>
    <t>Name of:</t>
  </si>
  <si>
    <t>Intermediate</t>
  </si>
  <si>
    <t>Affordable Rent or Social Rent</t>
  </si>
  <si>
    <t>Open Market</t>
  </si>
  <si>
    <t>Header</t>
  </si>
  <si>
    <t>s.106 financial contribution</t>
  </si>
  <si>
    <t>height</t>
  </si>
  <si>
    <t>cycle spaces</t>
  </si>
  <si>
    <t>housing or affordable</t>
  </si>
  <si>
    <t>play space</t>
  </si>
  <si>
    <t>play space or children</t>
  </si>
  <si>
    <t>number of habitable rooms per hectare</t>
  </si>
  <si>
    <t>units per hectare</t>
  </si>
  <si>
    <t>Hectare</t>
  </si>
  <si>
    <t>Date</t>
  </si>
  <si>
    <t>PA/</t>
  </si>
  <si>
    <t>Key Word</t>
  </si>
  <si>
    <t>Link to Skyscreper</t>
  </si>
  <si>
    <t>Link to website</t>
  </si>
  <si>
    <t>Link to SDC meeting</t>
  </si>
  <si>
    <t>Landowner</t>
  </si>
  <si>
    <t>CIL</t>
  </si>
  <si>
    <t>S106</t>
  </si>
  <si>
    <t>Height storeys (tallest building)</t>
  </si>
  <si>
    <t>Height meters (tallest building)</t>
  </si>
  <si>
    <t>Number of bike / cycle spaces</t>
  </si>
  <si>
    <t>Number of car parking spaces</t>
  </si>
  <si>
    <t>Total all housing</t>
  </si>
  <si>
    <t>5 bedroom</t>
  </si>
  <si>
    <t>4 bedroom</t>
  </si>
  <si>
    <t>3 bedroom</t>
  </si>
  <si>
    <t>2 bedroom</t>
  </si>
  <si>
    <t>1 bedroom</t>
  </si>
  <si>
    <t>Studio</t>
  </si>
  <si>
    <t>Playspace area</t>
  </si>
  <si>
    <t>Number of children 11-15</t>
  </si>
  <si>
    <t>Number of children 4-10</t>
  </si>
  <si>
    <t>Number of children 0-3 years of age</t>
  </si>
  <si>
    <t>Number of children - LBTH yield</t>
  </si>
  <si>
    <t>Number of children - GLA yield</t>
  </si>
  <si>
    <t>Density - number of habitable rooms per hectare</t>
  </si>
  <si>
    <t>Density - units per hectare</t>
  </si>
  <si>
    <t>Post code</t>
  </si>
  <si>
    <t>Address</t>
  </si>
  <si>
    <t>Date of meeting</t>
  </si>
  <si>
    <t>Date of application</t>
  </si>
  <si>
    <t>Case officer</t>
  </si>
  <si>
    <t>Full name of application</t>
  </si>
  <si>
    <t>Application or Ref Number</t>
  </si>
  <si>
    <t>Column Header</t>
  </si>
  <si>
    <t xml:space="preserve">Density measured by habitable rooms per hectare (hectares based on residential </t>
  </si>
  <si>
    <t xml:space="preserve">Where in planning process each development is (or if approved likely construction </t>
  </si>
  <si>
    <t xml:space="preserve">Children’s play area on site – split internal / external – in square meters </t>
  </si>
  <si>
    <t xml:space="preserve">Bicycle parking spaces </t>
  </si>
  <si>
    <t xml:space="preserve">PTAL rating of each development </t>
  </si>
  <si>
    <t>Site 1 Land at 3 Millharbour and Site 2 Land at 6, 7 and 8 South Quay Square, South Quay Square, London</t>
  </si>
  <si>
    <t>Playspace area Sq Meter</t>
  </si>
  <si>
    <t xml:space="preserve">S106 Total </t>
  </si>
  <si>
    <t>Link to developer website</t>
  </si>
  <si>
    <t>On hold, office approved, might restart</t>
  </si>
  <si>
    <t>Approved, being reworked?</t>
  </si>
  <si>
    <t>Being demolished, being sold</t>
  </si>
  <si>
    <t>Wardian (Arrowhead Quay), Marsh Wall</t>
  </si>
  <si>
    <t xml:space="preserve">Wardian, Marsh Wall </t>
  </si>
  <si>
    <t>South Quay Plaza 4, Marsh Wall</t>
  </si>
  <si>
    <t>Wardian, Marsh Wall</t>
  </si>
  <si>
    <t>2011 Census Base</t>
  </si>
  <si>
    <t>2011-2014 completion</t>
  </si>
  <si>
    <t>Approved/      Under Construction</t>
  </si>
  <si>
    <t>In planning process/      consultation</t>
  </si>
  <si>
    <t>Speculative</t>
  </si>
  <si>
    <t>Total Increase</t>
  </si>
  <si>
    <t>Total 2025</t>
  </si>
  <si>
    <t>Population Total</t>
  </si>
  <si>
    <t>Assumes 2 people for each new unit, this is lower then census number of 2.16</t>
  </si>
  <si>
    <t xml:space="preserve">   Cumulative</t>
  </si>
  <si>
    <t xml:space="preserve">   Increase on base %</t>
  </si>
  <si>
    <t>of which children aged 0-15 years</t>
  </si>
  <si>
    <t>Child assumption uses 0.27 per unit versus unit, lower then in census  0.35 children per unit</t>
  </si>
  <si>
    <t>Housing units</t>
  </si>
  <si>
    <t>Hotel rooms</t>
  </si>
  <si>
    <t>NHS GP Surgery</t>
  </si>
  <si>
    <t xml:space="preserve">   Additonal GP's required at 1,800 residents per GP</t>
  </si>
  <si>
    <t xml:space="preserve">   Planned Increase in GPs</t>
  </si>
  <si>
    <t xml:space="preserve">   Gap between population growth &amp; No. of GP's</t>
  </si>
  <si>
    <t>Schools</t>
  </si>
  <si>
    <t xml:space="preserve">   Number of primary schools required, 420 pupils per school</t>
  </si>
  <si>
    <t xml:space="preserve">   Number of primary schools in planning (permanent sites)</t>
  </si>
  <si>
    <t xml:space="preserve">   Gap between schools required and delivery</t>
  </si>
  <si>
    <t xml:space="preserve">   Number of secondary schools required, 1,200 pupil</t>
  </si>
  <si>
    <t xml:space="preserve">   Number of secondary schools in planning (permanent sites)</t>
  </si>
  <si>
    <t>Ballymore Cuba Street</t>
  </si>
  <si>
    <t>Madison, Meridian Gate, Marsh Wall</t>
  </si>
  <si>
    <t>Poplar</t>
  </si>
  <si>
    <t>Poplar Baths</t>
  </si>
  <si>
    <t>Blackwall Reach (Robin Hood Gardens)</t>
  </si>
  <si>
    <t>Poplar Business Park</t>
  </si>
  <si>
    <t>Swan &amp; THC</t>
  </si>
  <si>
    <t>Under construction, net increase in units</t>
  </si>
  <si>
    <t>School Requirements Calculations - Poplar, Canary Wharf, Island Gardens, Blackwall &amp; Cubitt Town wards</t>
  </si>
  <si>
    <t>Based on development in Canary Wharf, Blackwall &amp; Cubitt Town, Poplar &amp; Island Gardens wards</t>
  </si>
  <si>
    <t>Isle of Dogs Neighbourhood Planning Forum - development statistics as at 1st January 2016</t>
  </si>
  <si>
    <t>Growth between 2011 &amp; 2025?</t>
  </si>
  <si>
    <t>Growth is entirely in apartments, no houses, new social housing is between 25% &amp; 35%</t>
  </si>
  <si>
    <t>of which approved as at 1st January 2016</t>
  </si>
  <si>
    <t>Total 2025 Based on known developments</t>
  </si>
  <si>
    <t>Total 2025 Based on known + estimated developments</t>
  </si>
  <si>
    <t>London Plan maximum target</t>
  </si>
  <si>
    <t>Demoli</t>
  </si>
  <si>
    <t>Plann</t>
  </si>
  <si>
    <t>Process</t>
  </si>
  <si>
    <t xml:space="preserve"> </t>
  </si>
  <si>
    <t>Applicant</t>
  </si>
  <si>
    <t>Ownership</t>
  </si>
  <si>
    <t>Hotel Room</t>
  </si>
  <si>
    <t>Commercial/Business/ Floor Space square meter</t>
  </si>
  <si>
    <t>Restaurant/cafes/bars square meter</t>
  </si>
  <si>
    <t>Management Offices square meter</t>
  </si>
  <si>
    <t>Energy Center Retail square meter</t>
  </si>
  <si>
    <t>Retail floor space square meter</t>
  </si>
  <si>
    <t>Office/ Work floor space square meter</t>
  </si>
  <si>
    <t>Community floor space r/ Conference facilities square meter</t>
  </si>
  <si>
    <t>Replacement School/ Education square meter</t>
  </si>
  <si>
    <t>Health Center/ Leisure / Swimming pool, gym &amp; spa square mete</t>
  </si>
  <si>
    <t>Replacement faith building/ Faith Uses/  Arts &amp; Cultural  square meter</t>
  </si>
  <si>
    <t>Millharbour LLP</t>
  </si>
  <si>
    <t>Millharbour LLP plus LBTH (Highway between the two sites)</t>
  </si>
  <si>
    <t>3 to 5</t>
  </si>
  <si>
    <t>PA/12/03248 &amp; PA/12/03247</t>
  </si>
  <si>
    <t>City Pride Public House, 15 Westferry Road, London, E14 8JH and Island Point, Site At 443 To 451, Westferry Road, London</t>
  </si>
  <si>
    <t>Beth Eite</t>
  </si>
  <si>
    <t>Millwall (February 2002 onwards)</t>
  </si>
  <si>
    <t>4/15/2009 &amp; 6/13/2013</t>
  </si>
  <si>
    <t>Chalegrove Properties Limited</t>
  </si>
  <si>
    <t>Landmark North Ltd and UK Power Network Holdings</t>
  </si>
  <si>
    <t>x</t>
  </si>
  <si>
    <t>£4,225,180</t>
  </si>
  <si>
    <t>£3,054,275</t>
  </si>
  <si>
    <t>http://moderngov.towerhamlets.gov.uk/ieListDocuments.aspx?CId=360&amp;MId=4187&amp;Ver=4</t>
  </si>
  <si>
    <t>PA/14/00944</t>
  </si>
  <si>
    <t>South Quay Plaza, 183-189 Marsh Wall, London</t>
  </si>
  <si>
    <t>Berkeley Homes (South East London) Ltd</t>
  </si>
  <si>
    <t>£7,143,318.00</t>
  </si>
  <si>
    <t>£3,325,175</t>
  </si>
  <si>
    <t>http://moderngov.towerhamlets.gov.uk/ieListDocuments.aspx?CId=360&amp;MId=5078&amp;Ver=4</t>
  </si>
  <si>
    <t>PA/14/01246</t>
  </si>
  <si>
    <t>Former Enterprise Business Park, 2 Millharbour</t>
  </si>
  <si>
    <t>Former Enterprise Business Park, 2 Millharbour, London</t>
  </si>
  <si>
    <t>GDL limited</t>
  </si>
  <si>
    <t>3 to 4</t>
  </si>
  <si>
    <t>£713,163.00</t>
  </si>
  <si>
    <t>£13,179,298.00</t>
  </si>
  <si>
    <t>http://moderngov.towerhamlets.gov.uk/ieListDocuments.aspx?CId=360&amp;MId=5082&amp;Ver=4</t>
  </si>
  <si>
    <t>PA/15/02216</t>
  </si>
  <si>
    <t>Kate Harrison</t>
  </si>
  <si>
    <t>235 Westferry Road, London</t>
  </si>
  <si>
    <t xml:space="preserve"> E14 8NX</t>
  </si>
  <si>
    <t>Northern &amp; Shell Investments No. 2 Limited C/O Agent</t>
  </si>
  <si>
    <t>PA/12/03315</t>
  </si>
  <si>
    <t>Arrowhead Quay, East of 163 Marsh Wall</t>
  </si>
  <si>
    <t>Jerry Bell</t>
  </si>
  <si>
    <t>Arrowhead Commercial Limited (part of the Ballymore Group)</t>
  </si>
  <si>
    <t>Between£3,670,569 and £3,732,483</t>
  </si>
  <si>
    <t>£73,066</t>
  </si>
  <si>
    <t>PA/07/03282</t>
  </si>
  <si>
    <t>Indescon Court, 20 Millharbour</t>
  </si>
  <si>
    <t>Ila Robertson</t>
  </si>
  <si>
    <t>Millwall (February 2002 onwards</t>
  </si>
  <si>
    <t>Millharbour Developments Ltd</t>
  </si>
  <si>
    <t>Walbrook Trustees (Jersey) Ltd and Walbrook Properties Ltd</t>
  </si>
  <si>
    <t>http://moderngov.towerhamlets.gov.uk/ieListDocuments.aspx?CId=360&amp;MId=2024&amp;Ver=4</t>
  </si>
  <si>
    <t>Newfoundland, Canary Wharf **</t>
  </si>
  <si>
    <t>Land bounded by Park Place, Westferry Road &amp; Heron, Quay Road  (Newfoundland) - In Canary Wharf Location</t>
  </si>
  <si>
    <t>PA/13/1455 and PA/13/1456</t>
  </si>
  <si>
    <t>Land bounded by Park Place, Westferry Road &amp; Heron Quay Road (Newfoundland), London, E14 4JB</t>
  </si>
  <si>
    <t xml:space="preserve">Land bounded by Park Place, Westferry Road &amp; Heron Quay Road (Newfoundland), London </t>
  </si>
  <si>
    <t>South Quay Properties Limited</t>
  </si>
  <si>
    <t>Canary Wharf Limited, National Grid, et al</t>
  </si>
  <si>
    <t>£2,770,991</t>
  </si>
  <si>
    <t>£2,427,250</t>
  </si>
  <si>
    <t>http://moderngov.towerhamlets.gov.uk/ieListDocuments.aspx?CId=360&amp;MId=5009&amp;Ver=4</t>
  </si>
  <si>
    <t xml:space="preserve"> **Offsite affordable housing development/ temporary accomodation only for minimum of  5 years- Lovegrove Walk</t>
  </si>
  <si>
    <t>PA/13/1455 and PA/13/1457</t>
  </si>
  <si>
    <t xml:space="preserve"> **Offsite affordable housing development - 307 Burdett Road</t>
  </si>
  <si>
    <t>PA/13/1455 and PA/13/1458</t>
  </si>
  <si>
    <t xml:space="preserve"> **Offsite affordable housing development - 83 Barchester Street</t>
  </si>
  <si>
    <t>PA/13/1455 and PA/13/1459</t>
  </si>
  <si>
    <t>PA/14/00990</t>
  </si>
  <si>
    <t xml:space="preserve">Quay House, 2 Admirals Way, London E14 </t>
  </si>
  <si>
    <t>Robert Lancaster</t>
  </si>
  <si>
    <t>Investin Quay House Ltd</t>
  </si>
  <si>
    <t>£4,061,202.94</t>
  </si>
  <si>
    <t>£1,450,470</t>
  </si>
  <si>
    <t>PA/10/1049</t>
  </si>
  <si>
    <t>40 Marsh Wall, London</t>
  </si>
  <si>
    <t>Amy Cooper</t>
  </si>
  <si>
    <t xml:space="preserve"> E14 9TP</t>
  </si>
  <si>
    <t>Marsh Wall Chelsea LLP</t>
  </si>
  <si>
    <t>Mr Kamruz, BAK Investments Ltd et al.</t>
  </si>
  <si>
    <t>£1,665,145</t>
  </si>
  <si>
    <t>http://moderngov.towerhamlets.gov.uk/ieListDocuments.aspx?CId=360&amp;MId=3077&amp;Ver=4</t>
  </si>
  <si>
    <t>PA/14/03281</t>
  </si>
  <si>
    <t>50 Marsh Wall, 63-69 And 68-70 Manilla Street London, E14 9TP</t>
  </si>
  <si>
    <t>Jermaine Thomas</t>
  </si>
  <si>
    <t xml:space="preserve">50 Marsh Wall, 63-69 And 68-70 Manilla Street London </t>
  </si>
  <si>
    <t>E14 9 TP</t>
  </si>
  <si>
    <t>Darker Limited acting for Far East Consortium International</t>
  </si>
  <si>
    <t>3 to  4</t>
  </si>
  <si>
    <t>£2,385,576.88</t>
  </si>
  <si>
    <t>http://moderngov.towerhamlets.gov.uk/ieListDocuments.aspx?CId=360&amp;MId=5083&amp;Ver=4</t>
  </si>
  <si>
    <t>PA/11/00798</t>
  </si>
  <si>
    <t>45 Millhabour, London</t>
  </si>
  <si>
    <t>Jane Jin</t>
  </si>
  <si>
    <t>Mr M J Hunt c/o Stiles Harold Williams</t>
  </si>
  <si>
    <t>Mr Michael J Hunt</t>
  </si>
  <si>
    <t>£874,928</t>
  </si>
  <si>
    <t>http://moderngov.towerhamlets.gov.uk/ieListDocuments.aspx?CId=360&amp;MId=3446&amp;Ver=4</t>
  </si>
  <si>
    <t xml:space="preserve">Tune Hotel, Hertsmere Rd in 2 buildings </t>
  </si>
  <si>
    <t xml:space="preserve">443-451 Westferry Road London </t>
  </si>
  <si>
    <t xml:space="preserve">PA/08/2292 </t>
  </si>
  <si>
    <t>443-451 Westferry Road London, E14</t>
  </si>
  <si>
    <t>Stephen Irvine</t>
  </si>
  <si>
    <t>443-451 Westferry Road London</t>
  </si>
  <si>
    <t xml:space="preserve"> E14 xxx</t>
  </si>
  <si>
    <t>Glenkerrin (UK) Limited</t>
  </si>
  <si>
    <t>http://moderngov.towerhamlets.gov.uk/ieListDocuments.aspx?CId=360&amp;MId=2026&amp;Ver=4</t>
  </si>
  <si>
    <t>PA/13/02966 AND PA/13/02967</t>
  </si>
  <si>
    <t>Land known as “Wood Wharf”, Preston’s Road, London,
E14 9SF</t>
  </si>
  <si>
    <t>Blackwall and Cubitt Town Ward and Canary Wharf Ward</t>
  </si>
  <si>
    <t>Land known as “Wood Wharf”, Preston’s Road, London,</t>
  </si>
  <si>
    <t>CWG (Wood Wharf Two) Ltd</t>
  </si>
  <si>
    <t>600-1300</t>
  </si>
  <si>
    <t>£27,506,737.33</t>
  </si>
  <si>
    <t>£61m</t>
  </si>
  <si>
    <t>http://moderngov.towerhamlets.gov.uk/ieListDocuments.aspx?CId=360&amp;MId=5368&amp;Ver=4</t>
  </si>
  <si>
    <t>PA/10/01864</t>
  </si>
  <si>
    <t>Leamouth Peninsula North Orchard Place</t>
  </si>
  <si>
    <t>Elaine Bailey</t>
  </si>
  <si>
    <t>Blackwall and Cubitt Town</t>
  </si>
  <si>
    <t>Clearstorm Limited (part of Ballymore Group)</t>
  </si>
  <si>
    <t>Schedule attached to Cert C planning application form</t>
  </si>
  <si>
    <t>2, 4 &amp; 6</t>
  </si>
  <si>
    <t>£10m</t>
  </si>
  <si>
    <t>http://moderngov.towerhamlets.gov.uk/ieListDocuments.aspx?CId=360&amp;MId=3081&amp;Ver=4</t>
  </si>
  <si>
    <t>PA/12/03670</t>
  </si>
  <si>
    <t>ASDA, 151 East Ferry Road, London, E14 3BT</t>
  </si>
  <si>
    <t>Amy Thompson</t>
  </si>
  <si>
    <t>ASDA, 151 East Ferry Road, London</t>
  </si>
  <si>
    <t>ASDA Stores Limited and Ashborne Beech</t>
  </si>
  <si>
    <t>Various</t>
  </si>
  <si>
    <t>£6,679,997.</t>
  </si>
  <si>
    <t>http://moderngov.towerhamlets.gov.uk/ieListDocuments.aspx?CId=360&amp;MId=3777&amp;Ver=4</t>
  </si>
  <si>
    <t>PA/06/02101</t>
  </si>
  <si>
    <t>Building C, New Providence Wharf, Blackwall Way, London</t>
  </si>
  <si>
    <t>Joe Salim</t>
  </si>
  <si>
    <t>Blackwall and Cubbitt Town</t>
  </si>
  <si>
    <t>Landor (Dundee Wharf), Landor Residential Limited and Ballymore Ontario Limited</t>
  </si>
  <si>
    <t>http://moderngov.towerhamlets.gov.uk/ieListDocuments.aspx?CId=360&amp;MId=2023&amp;Ver=4</t>
  </si>
  <si>
    <t>PA/14/01428</t>
  </si>
  <si>
    <t>Meridian Gate, 199-207 Marsh Wall</t>
  </si>
  <si>
    <t>Tim Ross</t>
  </si>
  <si>
    <t>Meridian Gate, 199-207 Marsh Wall, London</t>
  </si>
  <si>
    <t>Meridian Gate Holdings Limited</t>
  </si>
  <si>
    <t>£3,244,001</t>
  </si>
  <si>
    <t>£1,413,160</t>
  </si>
  <si>
    <t>http://moderngov.towerhamlets.gov.uk/ieListDocuments.aspx?CId=360&amp;MId=5080&amp;Ver=4</t>
  </si>
  <si>
    <t xml:space="preserve">PA/08/0131 </t>
  </si>
  <si>
    <t>Site at 2 Trafalgar Way</t>
  </si>
  <si>
    <t>Jason Traves</t>
  </si>
  <si>
    <t>2 Trafalgar Way Limited and McDonalds Real Estate LLP Limited</t>
  </si>
  <si>
    <t>http://moderngov.towerhamlets.gov.uk/ieListDocuments.aspx?CId=360&amp;MId=2907&amp;Ver=4</t>
  </si>
  <si>
    <t>PA/12/00360</t>
  </si>
  <si>
    <t>New Union Close, London</t>
  </si>
  <si>
    <t>Katie Cooke</t>
  </si>
  <si>
    <t>East Homes Limited</t>
  </si>
  <si>
    <t>£1,880,150.</t>
  </si>
  <si>
    <t>£627,270</t>
  </si>
  <si>
    <t>http://moderngov.towerhamlets.gov.uk/ieListDocuments.aspx?CId=360&amp;MId=3778&amp;Ver=4</t>
  </si>
  <si>
    <t>PA/12/02107</t>
  </si>
  <si>
    <t>Car Park at South East Junction of Preston’s Road and Yabsley Street, Preston’s Road, London, E14</t>
  </si>
  <si>
    <t>Mandip Dhillon</t>
  </si>
  <si>
    <t>Blackwall and CubittTown</t>
  </si>
  <si>
    <t>3/29/2008; 7/8/2008 &amp; 12/13/2012</t>
  </si>
  <si>
    <t>Telford Homes Plc</t>
  </si>
  <si>
    <t>Baladine Properties Ltd</t>
  </si>
  <si>
    <t>£826, 408</t>
  </si>
  <si>
    <t>£564,305</t>
  </si>
  <si>
    <t>http://moderngov.towerhamlets.gov.uk/ieListDocuments.aspx?CId=360&amp;MId=3780&amp;Ver=4</t>
  </si>
  <si>
    <t>PA/14/00293</t>
  </si>
  <si>
    <t>7 Limeharbour, E14 9NQ</t>
  </si>
  <si>
    <t>Gareth Gwynne</t>
  </si>
  <si>
    <t>7 Limeharbour,</t>
  </si>
  <si>
    <t>E14 9NQ</t>
  </si>
  <si>
    <t>Telford Homes plc</t>
  </si>
  <si>
    <t>£1,308,075</t>
  </si>
  <si>
    <t>£229,460</t>
  </si>
  <si>
    <t>http://moderngov.towerhamlets.gov.uk/ieListDocuments.aspx?CId=360&amp;MId=5077&amp;Ver=4</t>
  </si>
  <si>
    <t>Dollar Bay, Marsh Wall ***</t>
  </si>
  <si>
    <t>PA/11/01945</t>
  </si>
  <si>
    <t>1 - 18 Dollar Bay Court, 4 Lawn House Close, London</t>
  </si>
  <si>
    <t>Coldharbour</t>
  </si>
  <si>
    <t>LondonNewcastle Agents for UKI (Dollar Bay) Limited</t>
  </si>
  <si>
    <t>Site in applicant’s ownership (Cert A signed)</t>
  </si>
  <si>
    <t>£899,000</t>
  </si>
  <si>
    <t>http://moderngov.towerhamlets.gov.uk/ieListDocuments.aspx?CId=360&amp;MId=3689&amp;Ver=4</t>
  </si>
  <si>
    <t>*** COMBINED HOUSING MIX ACROSS DOLLAR BAY &amp; THOMAS ROAD</t>
  </si>
  <si>
    <t>£1.4m</t>
  </si>
  <si>
    <t>http://moderngov.towerhamlets.gov.uk/ieListDocuments.aspx?CId=360&amp;MId=3689&amp;Ver=5</t>
  </si>
  <si>
    <t>Site at 18 to 36 Thomas Road, London ***</t>
  </si>
  <si>
    <t>PA/11/01944</t>
  </si>
  <si>
    <t>Site at 18 to 36 Thomas Road, London, E14 7BJ</t>
  </si>
  <si>
    <t>Mile End East</t>
  </si>
  <si>
    <t>Site at 18 to 36 Thomas Road, London</t>
  </si>
  <si>
    <t>E14 7BJ</t>
  </si>
  <si>
    <t>London Newcastle Agents for UKI (Thomas Road) Limited</t>
  </si>
  <si>
    <t>£449,000</t>
  </si>
  <si>
    <t>http://moderngov.towerhamlets.gov.uk/ieListDocuments.aspx?CId=360&amp;MId=3689&amp;Ver=6</t>
  </si>
  <si>
    <t>PA/12/02923</t>
  </si>
  <si>
    <t>1-3 Turnberry Quay and 1-5 Lanark Square, Crossharbour, London, E14</t>
  </si>
  <si>
    <t>Lanark Square Ltd</t>
  </si>
  <si>
    <t>Lanark Square Ltd and A &amp; S Cooper</t>
  </si>
  <si>
    <t>£ 636,007</t>
  </si>
  <si>
    <t>£156,590</t>
  </si>
  <si>
    <t>http://moderngov.towerhamlets.gov.uk/ieListDocuments.aspx?CId=360&amp;MId=3782&amp;Ver=4</t>
  </si>
  <si>
    <t xml:space="preserve">The Robin Hood Gardens </t>
  </si>
  <si>
    <t>PA/12/00001 and PA/12/00002</t>
  </si>
  <si>
    <t>The Robin Hood Gardens Estate together with land south of Poplar High Street and Naval Row, Woolmore School and land north of Woolmore Street bounded by Cotton Street, East India Dock Road
and Bullivant Street</t>
  </si>
  <si>
    <t>Simon Ryan</t>
  </si>
  <si>
    <t>3/7/2012 &amp; 3/15/2012</t>
  </si>
  <si>
    <t>London Borough of Tower Hamlets and the Homes and Communities Agency (HCA)</t>
  </si>
  <si>
    <t>£14.48million</t>
  </si>
  <si>
    <t>£27,360</t>
  </si>
  <si>
    <t>http://moderngov.towerhamlets.gov.uk/ieListDocuments.aspx?CId=360&amp;MId=4311&amp;Ver=4</t>
  </si>
  <si>
    <t>East India and Lansbury ** Added</t>
  </si>
  <si>
    <t>Land adjacent to Langdon Park Station</t>
  </si>
  <si>
    <t>PA/12/00637</t>
  </si>
  <si>
    <t>Land adjacent to Langdon Park Station, corner of Cording Street and Chrisp Street, 134-156 Chrisp Street, London E14</t>
  </si>
  <si>
    <t>Graham Harrington</t>
  </si>
  <si>
    <t>East India and Lansbury</t>
  </si>
  <si>
    <t>Land adjacent to Langdon Park Station, corner of Cording Street and Chrisp Street, 134-156 Chrisp Street, London</t>
  </si>
  <si>
    <t>£1,819,871</t>
  </si>
  <si>
    <t>£514,570</t>
  </si>
  <si>
    <t>http://moderngov.towerhamlets.gov.uk/ieListDocuments.aspx?CId=360&amp;MId=3783&amp;Ver=4</t>
  </si>
  <si>
    <t xml:space="preserve">Land at 160-166 Chrisp Street </t>
  </si>
  <si>
    <t>PA/15/00039</t>
  </si>
  <si>
    <t>Land at 160-166 Chrisp Street</t>
  </si>
  <si>
    <t>Shay Bugler</t>
  </si>
  <si>
    <t>Lansbury</t>
  </si>
  <si>
    <t>Bellway Homes</t>
  </si>
  <si>
    <t>4044 sqm</t>
  </si>
  <si>
    <t>£2,510,339</t>
  </si>
  <si>
    <t>£525,455</t>
  </si>
  <si>
    <t>http://moderngov.towerhamlets.gov.uk/ieListDocuments.aspx?CId=360&amp;MId=5994&amp;Ver=4</t>
  </si>
  <si>
    <t>Aberfeldy Estate, Abbot Road</t>
  </si>
  <si>
    <t>PA/11/02716</t>
  </si>
  <si>
    <t>Aberfeldy Estate, Abbott Road, London, E14</t>
  </si>
  <si>
    <t>Aberfeldy Estate, Abbott Road, London</t>
  </si>
  <si>
    <t>Poplar HARCA and Willmott Dixon Homes Ltd</t>
  </si>
  <si>
    <t>Schedule attached to Cert B of planning application form.</t>
  </si>
  <si>
    <t>£4.1million</t>
  </si>
  <si>
    <t>Tweed House Teviot Street</t>
  </si>
  <si>
    <t>PA/10/2093</t>
  </si>
  <si>
    <t>Tweed House Teviot Street E14</t>
  </si>
  <si>
    <t>Poplar HARCA and Telford Homes</t>
  </si>
  <si>
    <t>£423,974</t>
  </si>
  <si>
    <t>Brownfield Estate London</t>
  </si>
  <si>
    <t>PA/09/2100</t>
  </si>
  <si>
    <t>Brownfield Estate, London, E14</t>
  </si>
  <si>
    <t>Laura Webster</t>
  </si>
  <si>
    <t>Brownfield Estate, London</t>
  </si>
  <si>
    <t>Poplar Harca</t>
  </si>
  <si>
    <t>Mr M A Bharadia and Association Estates Ltd</t>
  </si>
  <si>
    <t>2 to 4</t>
  </si>
  <si>
    <t>http://moderngov.towerhamlets.gov.uk/ieListDocuments.aspx?CId=360&amp;MId=2911&amp;Ver=4</t>
  </si>
  <si>
    <t>St Dunstan’s and Stepney Green **Added</t>
  </si>
  <si>
    <t>47 Repton Street</t>
  </si>
  <si>
    <t>PA/12/02131</t>
  </si>
  <si>
    <t>47 Repton Street, London E14 7BF</t>
  </si>
  <si>
    <t>Angelina Eke</t>
  </si>
  <si>
    <t>St Dunstan’s and Stepney Green</t>
  </si>
  <si>
    <t xml:space="preserve">47 Repton Street, London </t>
  </si>
  <si>
    <t>E14 7BF</t>
  </si>
  <si>
    <t>Joint Applicants: Tower Hamlets Community Housing &amp; Network Rail
Infrastructure Limited</t>
  </si>
  <si>
    <t>£705,000</t>
  </si>
  <si>
    <t>http://moderngov.towerhamlets.gov.uk/ieListDocuments.aspx?CId=360&amp;MId=3779&amp;Ver=4</t>
  </si>
  <si>
    <t>Limehouse (February 2002-onwards) ** Added</t>
  </si>
  <si>
    <t>Former Job Centre Plus</t>
  </si>
  <si>
    <t>PA/13/1656 (Previous PA/09/214-5/17/2011)</t>
  </si>
  <si>
    <t>Former Job Centre Plus, 307 Burdett Road, London, E14
7DR</t>
  </si>
  <si>
    <t>Limehouse (February 2002 onwards)</t>
  </si>
  <si>
    <t>Former Job Centre Plus, 307 Burdett Road, London</t>
  </si>
  <si>
    <t>E14 7DR</t>
  </si>
  <si>
    <t>Canary Wharf Properties (Burdett Road) Limited</t>
  </si>
  <si>
    <t>4 to 5</t>
  </si>
  <si>
    <t>£1,011,114</t>
  </si>
  <si>
    <t>Former Blessed John Roche Secondary School</t>
  </si>
  <si>
    <t>PA/11/3765</t>
  </si>
  <si>
    <t>Former Blessed John Roche Secondary School, Upper North Street,
London E14 6ER</t>
  </si>
  <si>
    <t>Limehouse</t>
  </si>
  <si>
    <t xml:space="preserve">Former Blessed John Roche Secondary School, Upper North Street,
London </t>
  </si>
  <si>
    <t>E14 6ER</t>
  </si>
  <si>
    <t>Bellway Homes Ltd and Family Mosaic Developments Ltd</t>
  </si>
  <si>
    <t>Bellway Homes Ltd and EDF Energy Networks Ltd</t>
  </si>
  <si>
    <t>£2,956,755</t>
  </si>
  <si>
    <t>£203,000</t>
  </si>
  <si>
    <t>http://moderngov.towerhamlets.gov.uk/ieListDocuments.aspx?CId=360&amp;MId=3699&amp;Ver=4</t>
  </si>
  <si>
    <t>Site at 82 West India Dock Road and 15 Salter Street</t>
  </si>
  <si>
    <t>PA/12/00918</t>
  </si>
  <si>
    <t>Site at 82 West India Dock Road and 15 Salter Street, London</t>
  </si>
  <si>
    <t>2/2/2010 &amp; 3/16/2010</t>
  </si>
  <si>
    <t>Key Homes Fund</t>
  </si>
  <si>
    <t>£210,018.00</t>
  </si>
  <si>
    <t>£61,992</t>
  </si>
  <si>
    <t>South Quay Plaza 4 extension</t>
  </si>
  <si>
    <t>+ 5 extra GP surgery places at Barkantine &amp; Island Health</t>
  </si>
  <si>
    <t>Apartments</t>
  </si>
  <si>
    <t>The Spire, West India Quay </t>
  </si>
  <si>
    <t>Newfoundland, Canary Wharf </t>
  </si>
  <si>
    <t>Herzog de Meuron, Canary Wharf</t>
  </si>
  <si>
    <t xml:space="preserve">3 &amp; 2 Millharbour </t>
  </si>
  <si>
    <t>South Quay Plaza 1, 2 &amp; 4, Marsh Wall</t>
  </si>
  <si>
    <t>CPL</t>
  </si>
  <si>
    <t>Northern &amp; Shell</t>
  </si>
  <si>
    <t>London City Island, Blackwall</t>
  </si>
  <si>
    <t>Children</t>
  </si>
  <si>
    <t>Tower Hamlets Council</t>
  </si>
  <si>
    <t>Landmark Pinnacle (City Pride) &amp; Island Point, Marsh Wall </t>
  </si>
  <si>
    <t>Population Statistics</t>
  </si>
  <si>
    <t>Total OAPF area</t>
  </si>
  <si>
    <t>GLA 2015 round trend population projections: long-term variant</t>
  </si>
  <si>
    <t>Increase on previous period</t>
  </si>
  <si>
    <t>Census (Nomis)</t>
  </si>
  <si>
    <t>ward81:Blackwall</t>
  </si>
  <si>
    <t>ward81:Millwall</t>
  </si>
  <si>
    <t>Census Data (Nomis)</t>
  </si>
  <si>
    <t>Population Statistics  by  Year</t>
  </si>
  <si>
    <t>Mid-2015 Population Estimates for 2015 Wards in England and Wales by Single Year of Age and Sex - Experimental Statistics</t>
  </si>
  <si>
    <t>OAPF Area - 2015 ONS data + Local Plan growth assumptions</t>
  </si>
  <si>
    <t>ONS</t>
  </si>
  <si>
    <t>Source</t>
  </si>
  <si>
    <t>% Increase</t>
  </si>
  <si>
    <t>Local Plan draft</t>
  </si>
  <si>
    <t>2015/6-2031 growth</t>
  </si>
  <si>
    <t>NP draft</t>
  </si>
  <si>
    <t>Short Term GLA</t>
  </si>
  <si>
    <t>Long Term GLA</t>
  </si>
  <si>
    <t>ONS 2014</t>
  </si>
  <si>
    <t>ONS 2014 Fcst</t>
  </si>
  <si>
    <t>Short Term GLA Fcst</t>
  </si>
  <si>
    <t>Long Term GLA Fcst</t>
  </si>
  <si>
    <t>Table 2: 2014-based Subnational Population Projections for Local Authorities and Higher Administrative Areas in England</t>
  </si>
  <si>
    <t>As a % of Tower Hamlets</t>
  </si>
  <si>
    <t>As a % of Tower Hamlets Total</t>
  </si>
  <si>
    <t>Sub-total OAPF area</t>
  </si>
  <si>
    <t>Sub-total South-east of Tower Hamlets</t>
  </si>
  <si>
    <r>
      <rPr>
        <b/>
        <sz val="12"/>
        <color rgb="FFFFFFFF"/>
        <rFont val="Helvetica"/>
        <family val="2"/>
      </rPr>
      <t>Cumulative housing development by ward, 2015/16 to 2030/31</t>
    </r>
  </si>
  <si>
    <t>2015/16</t>
  </si>
  <si>
    <r>
      <rPr>
        <b/>
        <sz val="12"/>
        <rFont val="Helvetica"/>
      </rPr>
      <t>2016/17
to 2020/21</t>
    </r>
  </si>
  <si>
    <r>
      <rPr>
        <b/>
        <sz val="12"/>
        <rFont val="Helvetica"/>
      </rPr>
      <t>2021/22
to 2025/26</t>
    </r>
  </si>
  <si>
    <r>
      <rPr>
        <b/>
        <sz val="12"/>
        <rFont val="Helvetica"/>
      </rPr>
      <t>2026/27 to
2030/31</t>
    </r>
  </si>
  <si>
    <t>Bethnal Green</t>
  </si>
  <si>
    <t>Bow East</t>
  </si>
  <si>
    <t>Bow West</t>
  </si>
  <si>
    <t>Bromley North</t>
  </si>
  <si>
    <t>Bromley South</t>
  </si>
  <si>
    <t>Mile End</t>
  </si>
  <si>
    <t>Shadwell</t>
  </si>
  <si>
    <t>Spitalfields and Banglatown</t>
  </si>
  <si>
    <t>St Dunstan's</t>
  </si>
  <si>
    <t>St Katharine's and Wapping</t>
  </si>
  <si>
    <t>St Peter's</t>
  </si>
  <si>
    <t>Stepney Green</t>
  </si>
  <si>
    <t>Weavers</t>
  </si>
  <si>
    <t>Whitechapel</t>
  </si>
  <si>
    <t>Appendix A: Housing Development Breakdown by Ward Cumulative</t>
  </si>
  <si>
    <t>Type</t>
  </si>
  <si>
    <t>Consultation</t>
  </si>
  <si>
    <t>Estate Regeneration</t>
  </si>
  <si>
    <t>No</t>
  </si>
  <si>
    <t>Landmark Pinnacle (City Pride), Marsh Wall</t>
  </si>
  <si>
    <t>Private</t>
  </si>
  <si>
    <t xml:space="preserve">The Spire, West India Quay </t>
  </si>
  <si>
    <t>Mixed</t>
  </si>
  <si>
    <t>200 units already sold</t>
  </si>
  <si>
    <t>Demolition complete &amp; sales started</t>
  </si>
  <si>
    <t xml:space="preserve">Greystar have bought </t>
  </si>
  <si>
    <t>Demolition</t>
  </si>
  <si>
    <t>May go to SDC in Feb 2017</t>
  </si>
  <si>
    <t>Planning application</t>
  </si>
  <si>
    <t>PRS</t>
  </si>
  <si>
    <t>Application withdrawn</t>
  </si>
  <si>
    <t>Construction almost complete</t>
  </si>
  <si>
    <t>Approved by GLA</t>
  </si>
  <si>
    <t>N/A</t>
  </si>
  <si>
    <t>Approved but gone quiet</t>
  </si>
  <si>
    <t>Office approved, new application coming</t>
  </si>
  <si>
    <t>Speculation</t>
  </si>
  <si>
    <t>People moving in in stages</t>
  </si>
  <si>
    <t>Complete 2016</t>
  </si>
  <si>
    <t>Estate regeneration</t>
  </si>
  <si>
    <t>Skylines</t>
  </si>
  <si>
    <t>Westferry</t>
  </si>
  <si>
    <t>Hertsmere</t>
  </si>
  <si>
    <t>Closest Main Road</t>
  </si>
  <si>
    <t>Prestons</t>
  </si>
  <si>
    <t>Manchester</t>
  </si>
  <si>
    <t>Leamouth</t>
  </si>
  <si>
    <t>Blackwall Way</t>
  </si>
  <si>
    <t>Completion date</t>
  </si>
  <si>
    <t>Likelyhood of completion %</t>
  </si>
  <si>
    <t>On sale?</t>
  </si>
  <si>
    <t>SQMP property?</t>
  </si>
  <si>
    <t>Meadow</t>
  </si>
  <si>
    <t>OHG / Argent</t>
  </si>
  <si>
    <t>Poplar High Street</t>
  </si>
  <si>
    <t>163m</t>
  </si>
  <si>
    <t>Planning application approved</t>
  </si>
  <si>
    <t>Castle Wharf Esso Petrol Station</t>
  </si>
  <si>
    <t>PA/16/01763/A1</t>
  </si>
  <si>
    <t>Rolfe Judd</t>
  </si>
  <si>
    <t>Estimate of Population Increase in Island Wards &amp; South Poplar - as at 28th January 2017</t>
  </si>
  <si>
    <t>Consultation in Q1 2017</t>
  </si>
  <si>
    <t>Refused January 2017</t>
  </si>
  <si>
    <t>Table is from LBTH Local Plan - Infrastructure Delivery Plan published November 2016</t>
  </si>
  <si>
    <t>Sub-total - Isle of Dogs</t>
  </si>
  <si>
    <t>inclduding Aldgate</t>
  </si>
  <si>
    <t>List of Hotels in OAPF area</t>
  </si>
  <si>
    <t>may be sold</t>
  </si>
  <si>
    <t>opening 2017</t>
  </si>
  <si>
    <t>opening 2017?</t>
  </si>
  <si>
    <t>Model developed by Andrew Wood, Isle of Dogs Neighbourhood Planning Forum, Tel: 07710 486 873, cllrandrewwood@gmail.com</t>
  </si>
  <si>
    <t>Sub-total of new developments</t>
  </si>
  <si>
    <t>82 West India Dock Rd</t>
  </si>
  <si>
    <t>in Limehouse</t>
  </si>
  <si>
    <t>Westferry/Limehouse</t>
  </si>
  <si>
    <t>In consultation</t>
  </si>
  <si>
    <t>We have added sub-totals to it but calculation of numbers is different to our own</t>
  </si>
  <si>
    <t>The Madison (Meridian Gate), Marsh Wall</t>
  </si>
  <si>
    <t>Phoenix Heights</t>
  </si>
  <si>
    <t>65m</t>
  </si>
  <si>
    <t>Properties completed 2010-14</t>
  </si>
  <si>
    <t>Open summer 2010 but pepple still moving in</t>
  </si>
  <si>
    <t>Admiral Way estate</t>
  </si>
  <si>
    <t>LBTH Site Allocation?</t>
  </si>
  <si>
    <t>Rumour, site allocation, data centre construction</t>
  </si>
  <si>
    <t>Site allocation</t>
  </si>
  <si>
    <t>City Gateway site, Mastmaker</t>
  </si>
  <si>
    <t>SQMP allocation?</t>
  </si>
  <si>
    <t>On hold? But site allocation</t>
  </si>
  <si>
    <t>Site allocation. Rumour &amp; estimate based on developers models</t>
  </si>
  <si>
    <t>Cutty Sark House, next to Mudchute DLR</t>
  </si>
  <si>
    <t>Properties completed 2011-2015</t>
  </si>
  <si>
    <t>Sub-total</t>
  </si>
  <si>
    <t>Chalegrove</t>
  </si>
  <si>
    <t>East Thames</t>
  </si>
  <si>
    <t>&amp; OHG</t>
  </si>
  <si>
    <t>82 West India Dock Road (in Limehouse)</t>
  </si>
  <si>
    <t>Breakdown By Status</t>
  </si>
  <si>
    <t>Sub-Total</t>
  </si>
  <si>
    <t>Total 2031</t>
  </si>
  <si>
    <t>Check total</t>
  </si>
  <si>
    <t>Growth between 2011 &amp; 2031</t>
  </si>
  <si>
    <t xml:space="preserve">   Cumulative Increase %</t>
  </si>
  <si>
    <t>Based on development in Canary Wharf, Blackwall &amp; Cubitt Town, Poplar &amp; Island Gardens wards = OAPF area</t>
  </si>
  <si>
    <t>2011-2016 completion is those building not fully occupied at the time of the 2011 census or complete between 2011 and 2016. Population numbers are an understatement</t>
  </si>
  <si>
    <t>Speculative sites include sites where developers are known to be active, are site allocation, rejected developments or offices built in the 1980's built prone to closure. Only number of units is an estimate.</t>
  </si>
  <si>
    <t>Primary schools with planning permission: Canary Wharf College 2, Wood Wharf, Galliard Millharbour &amp; Alpha Square. Westferry Printworks approved secondary</t>
  </si>
  <si>
    <t>Approved application</t>
  </si>
  <si>
    <t>Unapproved planning application</t>
  </si>
  <si>
    <t xml:space="preserve">   Canary Wharf</t>
  </si>
  <si>
    <t xml:space="preserve">   Blackwall &amp; Cubitt Town</t>
  </si>
  <si>
    <t xml:space="preserve">   Island Gardens</t>
  </si>
  <si>
    <t xml:space="preserve">   Poplar</t>
  </si>
  <si>
    <t>2017-18</t>
  </si>
  <si>
    <t>2019-20</t>
  </si>
  <si>
    <t>2021-2023</t>
  </si>
  <si>
    <t>2024-26</t>
  </si>
  <si>
    <t>2027-2030</t>
  </si>
  <si>
    <t>2010-16</t>
  </si>
  <si>
    <t>2010-2016 completion</t>
  </si>
  <si>
    <t>2030 Total</t>
  </si>
  <si>
    <t>2031 Total</t>
  </si>
  <si>
    <t>Population Increase by Year</t>
  </si>
  <si>
    <t>Years</t>
  </si>
  <si>
    <t>Only one new surgery planned at Wood Wharf 9 GP's</t>
  </si>
  <si>
    <t>29 GP's equivalent to 2.5 Barkantine surgeries</t>
  </si>
  <si>
    <t>CW College schools are smaller then average = 0.7. Alpha Square, Galliard Millharbour &amp; Wood Wharf school included.</t>
  </si>
  <si>
    <t>Five new hotels planned, eight already in area</t>
  </si>
  <si>
    <t>but this includes final completion date, London City Island people moving in now so does not reflect full change. Project Stone 2031</t>
  </si>
  <si>
    <t>Population Change by Year</t>
  </si>
  <si>
    <t>Completion: assumes that Landmark, Phoenix Heights and Pan Pennsula were 1/2 full when census undertaken in March 2011</t>
  </si>
  <si>
    <t>Increase on 2011</t>
  </si>
  <si>
    <t>Britannia Hotel</t>
  </si>
  <si>
    <t>Rumour of sale</t>
  </si>
  <si>
    <t>Silvocea Way transport depot</t>
  </si>
  <si>
    <t>Yalbsley Street recycling</t>
  </si>
  <si>
    <t>Council owned</t>
  </si>
  <si>
    <t>Westferry print works approved, delivery date?</t>
  </si>
  <si>
    <t>2011 Census Canary Wharf</t>
  </si>
  <si>
    <t>2011 Census BCT</t>
  </si>
  <si>
    <t>2011 Census Island Gardens</t>
  </si>
  <si>
    <t>2011 Census Poplar</t>
  </si>
  <si>
    <t>Development</t>
  </si>
  <si>
    <t>Count of Closest Main Road</t>
  </si>
  <si>
    <t>Row Labels</t>
  </si>
  <si>
    <t>Grand Total</t>
  </si>
  <si>
    <t>Sum of No. of Households/Units</t>
  </si>
  <si>
    <t>Census total</t>
  </si>
  <si>
    <t>Sum of Residents</t>
  </si>
  <si>
    <t>(Multiple Items)</t>
  </si>
  <si>
    <t>2031 = speculative + Project Stone</t>
  </si>
  <si>
    <t>Population Total by Ward</t>
  </si>
  <si>
    <t>2011 total</t>
  </si>
  <si>
    <t>Reuters</t>
  </si>
  <si>
    <t>Backwall Way</t>
  </si>
  <si>
    <t>2003 permission for 2008 units, site allocation</t>
  </si>
  <si>
    <t>Column Labels</t>
  </si>
  <si>
    <t>(blank)</t>
  </si>
  <si>
    <t>228m</t>
  </si>
  <si>
    <t>143m</t>
  </si>
  <si>
    <t>Committee date</t>
  </si>
  <si>
    <t>110m</t>
  </si>
  <si>
    <t>Primary schools required - assuming equal age distribution</t>
  </si>
  <si>
    <t>Primary schools required 420 pupil - assuming equal age distribution</t>
  </si>
  <si>
    <t>Number of children 0-15 assuming 30% per home</t>
  </si>
  <si>
    <t>Isle of Dogs Neighbourhood Planning Forum - development statistics as at 17th February 2017</t>
  </si>
  <si>
    <t>2011 census - 32% ratio of children per households in Canary Wharf ward, 36% BCT, 37% Island Gardens ward, Poplar 73%</t>
  </si>
  <si>
    <t>Primary school assume 420 pupil per school</t>
  </si>
  <si>
    <t>Sum of Children Aged 0-15</t>
  </si>
  <si>
    <t>Number of children 0-15 assuming 30%</t>
  </si>
  <si>
    <t>Number of Children at different stages of development by year of final delivery</t>
  </si>
  <si>
    <t>Growth</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</si>
</sst>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quot;£&quot;#,##0;[Red]\-&quot;£&quot;#,##0"/>
    <numFmt numFmtId="165" formatCode="_-* #,##0.00_-;\-* #,##0.00_-;_-* &quot;-&quot;??_-;_-@_-"/>
    <numFmt numFmtId="166" formatCode="0.0%"/>
    <numFmt numFmtId="167" formatCode="#,##0.0"/>
    <numFmt numFmtId="168" formatCode="0.0"/>
    <numFmt numFmtId="169" formatCode="&quot;£&quot;#,##0"/>
    <numFmt numFmtId="170" formatCode="&quot;£&quot;#,##0.00"/>
    <numFmt numFmtId="171" formatCode="_-* #,##0.0_-;\-* #,##0.0_-;_-* &quot;-&quot;??_-;_-@_-"/>
  </numFmts>
  <fonts count="74"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Arial"/>
    </font>
    <font>
      <b/>
      <u/>
      <sz val="14"/>
      <color theme="1"/>
      <name val="Arial"/>
    </font>
    <font>
      <u/>
      <sz val="12"/>
      <color theme="1"/>
      <name val="Arial"/>
    </font>
    <font>
      <b/>
      <sz val="12"/>
      <color theme="1"/>
      <name val="Arial"/>
    </font>
    <font>
      <b/>
      <u/>
      <sz val="12"/>
      <color theme="1"/>
      <name val="Arial"/>
    </font>
    <font>
      <b/>
      <sz val="14"/>
      <color theme="1"/>
      <name val="Arial"/>
    </font>
    <font>
      <b/>
      <sz val="12"/>
      <color theme="1"/>
      <name val="Calibri"/>
      <family val="2"/>
      <scheme val="minor"/>
    </font>
    <font>
      <b/>
      <u/>
      <sz val="12"/>
      <color theme="1"/>
      <name val="Calibri"/>
      <scheme val="minor"/>
    </font>
    <font>
      <u/>
      <sz val="12"/>
      <color theme="1"/>
      <name val="Calibri"/>
      <scheme val="minor"/>
    </font>
    <font>
      <b/>
      <u/>
      <sz val="16"/>
      <color theme="1"/>
      <name val="Calibri"/>
      <scheme val="minor"/>
    </font>
    <font>
      <sz val="16"/>
      <color theme="1"/>
      <name val="Calibri"/>
      <scheme val="minor"/>
    </font>
    <font>
      <b/>
      <u/>
      <sz val="14"/>
      <color theme="1"/>
      <name val="Calibri"/>
      <scheme val="minor"/>
    </font>
    <font>
      <b/>
      <u/>
      <sz val="18"/>
      <color theme="1"/>
      <name val="Calibri"/>
      <scheme val="minor"/>
    </font>
    <font>
      <b/>
      <u/>
      <sz val="12"/>
      <color theme="1"/>
      <name val="Times New Roman"/>
    </font>
    <font>
      <sz val="12"/>
      <color theme="1"/>
      <name val="Times New Roman"/>
    </font>
    <font>
      <b/>
      <sz val="12"/>
      <color theme="1"/>
      <name val="Times New Roman"/>
    </font>
    <font>
      <b/>
      <sz val="14"/>
      <color rgb="FF000000"/>
      <name val="Calibri"/>
      <scheme val="minor"/>
    </font>
    <font>
      <sz val="14"/>
      <color theme="1"/>
      <name val="Calibri"/>
      <scheme val="minor"/>
    </font>
    <font>
      <sz val="14"/>
      <color rgb="FF000000"/>
      <name val="Calibri"/>
      <scheme val="minor"/>
    </font>
    <font>
      <u/>
      <sz val="16"/>
      <color theme="1"/>
      <name val="Calibri"/>
      <scheme val="minor"/>
    </font>
    <font>
      <b/>
      <u/>
      <sz val="16"/>
      <color theme="1"/>
      <name val="Times New Roman"/>
    </font>
    <font>
      <b/>
      <sz val="16"/>
      <color theme="1"/>
      <name val="Calibri"/>
      <family val="2"/>
      <scheme val="minor"/>
    </font>
    <font>
      <sz val="12"/>
      <color rgb="FF0000FF"/>
      <name val="Calibri"/>
      <scheme val="minor"/>
    </font>
    <font>
      <b/>
      <sz val="12"/>
      <color rgb="FF0000FF"/>
      <name val="Calibri"/>
      <scheme val="minor"/>
    </font>
    <font>
      <i/>
      <sz val="12"/>
      <color rgb="FF0000FF"/>
      <name val="Calibri"/>
      <scheme val="minor"/>
    </font>
    <font>
      <sz val="12"/>
      <name val="Calibri"/>
      <scheme val="minor"/>
    </font>
    <font>
      <sz val="10"/>
      <color rgb="FF000000"/>
      <name val="Arial"/>
    </font>
    <font>
      <b/>
      <sz val="10"/>
      <color rgb="FF000000"/>
      <name val="Verdana"/>
    </font>
    <font>
      <sz val="10"/>
      <color rgb="FF000000"/>
      <name val="Verdana"/>
    </font>
    <font>
      <b/>
      <u/>
      <sz val="16"/>
      <color rgb="FF000000"/>
      <name val="Arial"/>
    </font>
    <font>
      <b/>
      <sz val="14"/>
      <color theme="1"/>
      <name val="Calibri"/>
      <scheme val="minor"/>
    </font>
    <font>
      <strike/>
      <sz val="10"/>
      <color rgb="FF000000"/>
      <name val="Verdana"/>
    </font>
    <font>
      <sz val="10"/>
      <color theme="1"/>
      <name val="Calibri"/>
      <scheme val="minor"/>
    </font>
    <font>
      <b/>
      <sz val="10"/>
      <color theme="1"/>
      <name val="Calibri"/>
      <scheme val="minor"/>
    </font>
    <font>
      <u/>
      <sz val="14"/>
      <color theme="1"/>
      <name val="Calibri"/>
      <scheme val="minor"/>
    </font>
    <font>
      <b/>
      <sz val="12"/>
      <name val="Calibri"/>
      <scheme val="minor"/>
    </font>
    <font>
      <sz val="12"/>
      <color theme="1"/>
      <name val="ArialMT"/>
    </font>
    <font>
      <b/>
      <sz val="16"/>
      <color rgb="FFFFFFFF"/>
      <name val="Calibri"/>
    </font>
    <font>
      <sz val="14"/>
      <color rgb="FF000000"/>
      <name val="Calibri"/>
    </font>
    <font>
      <b/>
      <sz val="14"/>
      <color rgb="FF000000"/>
      <name val="Calibri"/>
    </font>
    <font>
      <sz val="10"/>
      <name val="Calibri"/>
      <scheme val="minor"/>
    </font>
    <font>
      <b/>
      <sz val="10"/>
      <name val="Calibri"/>
      <scheme val="minor"/>
    </font>
    <font>
      <sz val="12"/>
      <color theme="1"/>
      <name val="Tahoma"/>
      <family val="2"/>
    </font>
    <font>
      <b/>
      <sz val="12"/>
      <color theme="1"/>
      <name val="Tahoma"/>
      <family val="2"/>
    </font>
    <font>
      <u/>
      <sz val="12"/>
      <color theme="10"/>
      <name val="Tahoma"/>
      <family val="2"/>
    </font>
    <font>
      <sz val="12"/>
      <color rgb="FFFF0000"/>
      <name val="Tahoma"/>
      <family val="2"/>
    </font>
    <font>
      <b/>
      <strike/>
      <sz val="12"/>
      <color theme="1"/>
      <name val="Calibri"/>
      <scheme val="minor"/>
    </font>
    <font>
      <b/>
      <sz val="9"/>
      <color indexed="81"/>
      <name val="Tahoma"/>
    </font>
    <font>
      <sz val="9"/>
      <color indexed="81"/>
      <name val="Tahoma"/>
    </font>
    <font>
      <sz val="12"/>
      <name val="Arial"/>
    </font>
    <font>
      <sz val="22"/>
      <color theme="1"/>
      <name val="Helvetica"/>
    </font>
    <font>
      <b/>
      <sz val="12"/>
      <name val="Helvetica"/>
    </font>
    <font>
      <b/>
      <sz val="12"/>
      <color rgb="FFFFFFFF"/>
      <name val="Helvetica"/>
      <family val="2"/>
    </font>
    <font>
      <sz val="12"/>
      <name val="Helvetica"/>
    </font>
    <font>
      <sz val="12"/>
      <color rgb="FF000000"/>
      <name val="Helvetica"/>
      <family val="2"/>
    </font>
    <font>
      <b/>
      <sz val="12"/>
      <color rgb="FF000000"/>
      <name val="Helvetica"/>
      <family val="2"/>
    </font>
    <font>
      <b/>
      <i/>
      <sz val="12"/>
      <name val="Helvetica"/>
    </font>
    <font>
      <b/>
      <i/>
      <sz val="12"/>
      <color rgb="FF000000"/>
      <name val="Helvetica"/>
    </font>
    <font>
      <sz val="12"/>
      <color rgb="FF000000"/>
      <name val="Calibri"/>
      <family val="2"/>
      <scheme val="minor"/>
    </font>
    <font>
      <i/>
      <sz val="12"/>
      <color theme="1"/>
      <name val="Calibri"/>
      <scheme val="minor"/>
    </font>
    <font>
      <sz val="18"/>
      <color rgb="FFFF0000"/>
      <name val="Calibri"/>
      <family val="2"/>
      <scheme val="minor"/>
    </font>
    <font>
      <sz val="12"/>
      <color rgb="FF000000"/>
      <name val="Arial"/>
    </font>
    <font>
      <b/>
      <sz val="12"/>
      <color rgb="FF000000"/>
      <name val="Arial"/>
    </font>
  </fonts>
  <fills count="1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6BB6"/>
      </patternFill>
    </fill>
    <fill>
      <patternFill patternType="solid">
        <fgColor rgb="FFE1F3FF"/>
      </patternFill>
    </fill>
    <fill>
      <patternFill patternType="solid">
        <fgColor theme="5" tint="0.59999389629810485"/>
        <bgColor indexed="64"/>
      </patternFill>
    </fill>
  </fills>
  <borders count="44">
    <border>
      <left/>
      <right/>
      <top/>
      <bottom/>
      <diagonal/>
    </border>
    <border>
      <left style="hair">
        <color auto="1"/>
      </left>
      <right style="hair">
        <color auto="1"/>
      </right>
      <top/>
      <bottom/>
      <diagonal/>
    </border>
    <border>
      <left style="hair">
        <color auto="1"/>
      </left>
      <right style="hair">
        <color auto="1"/>
      </right>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right/>
      <top style="thin">
        <color auto="1"/>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top/>
      <bottom/>
      <diagonal/>
    </border>
    <border>
      <left/>
      <right style="hair">
        <color auto="1"/>
      </right>
      <top/>
      <bottom style="thin">
        <color auto="1"/>
      </bottom>
      <diagonal/>
    </border>
    <border>
      <left/>
      <right style="hair">
        <color auto="1"/>
      </right>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bottom/>
      <diagonal/>
    </border>
    <border>
      <left style="hair">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style="thin">
        <color auto="1"/>
      </top>
      <bottom style="medium">
        <color auto="1"/>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auto="1"/>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top style="hair">
        <color rgb="FF000000"/>
      </top>
      <bottom/>
      <diagonal/>
    </border>
  </borders>
  <cellStyleXfs count="838">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5"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7" fillId="0" borderId="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3" fillId="0" borderId="0"/>
    <xf numFmtId="0" fontId="5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617">
    <xf numFmtId="0" fontId="0" fillId="0" borderId="0" xfId="0"/>
    <xf numFmtId="0" fontId="11" fillId="0" borderId="1" xfId="0" applyFont="1" applyBorder="1" applyAlignment="1">
      <alignment vertical="top" wrapText="1"/>
    </xf>
    <xf numFmtId="0" fontId="12" fillId="0" borderId="0" xfId="0" applyFont="1" applyAlignment="1">
      <alignment vertical="top"/>
    </xf>
    <xf numFmtId="0" fontId="11" fillId="0" borderId="0" xfId="0" applyFont="1" applyAlignment="1">
      <alignment vertical="top" wrapText="1"/>
    </xf>
    <xf numFmtId="3" fontId="11" fillId="0" borderId="0" xfId="0" applyNumberFormat="1" applyFont="1" applyAlignment="1">
      <alignment vertical="top" wrapText="1"/>
    </xf>
    <xf numFmtId="0" fontId="11" fillId="0" borderId="0" xfId="0" applyFont="1" applyAlignment="1">
      <alignment vertical="top" wrapText="1"/>
    </xf>
    <xf numFmtId="0" fontId="11" fillId="0" borderId="0" xfId="0" applyFont="1" applyAlignment="1">
      <alignment vertical="top"/>
    </xf>
    <xf numFmtId="0" fontId="14" fillId="2" borderId="2" xfId="0" applyFont="1" applyFill="1" applyBorder="1" applyAlignment="1">
      <alignment vertical="top" wrapText="1"/>
    </xf>
    <xf numFmtId="0" fontId="14" fillId="0" borderId="0" xfId="0" applyFont="1" applyAlignment="1">
      <alignment vertical="top" wrapText="1"/>
    </xf>
    <xf numFmtId="0" fontId="13" fillId="0" borderId="1" xfId="0" applyFont="1" applyBorder="1" applyAlignment="1">
      <alignment vertical="top"/>
    </xf>
    <xf numFmtId="3" fontId="11" fillId="0" borderId="1" xfId="0" applyNumberFormat="1" applyFont="1" applyBorder="1" applyAlignment="1">
      <alignment vertical="top" wrapText="1"/>
    </xf>
    <xf numFmtId="0" fontId="15" fillId="0" borderId="1" xfId="0" applyFont="1" applyBorder="1" applyAlignment="1">
      <alignment vertical="top"/>
    </xf>
    <xf numFmtId="0" fontId="14" fillId="0" borderId="1" xfId="0" applyFont="1" applyBorder="1" applyAlignment="1">
      <alignment vertical="top" wrapText="1"/>
    </xf>
    <xf numFmtId="3" fontId="14" fillId="0" borderId="3" xfId="0" applyNumberFormat="1" applyFont="1" applyBorder="1" applyAlignment="1">
      <alignment vertical="top" wrapText="1"/>
    </xf>
    <xf numFmtId="0" fontId="14" fillId="0" borderId="1" xfId="0" applyFont="1" applyBorder="1" applyAlignment="1">
      <alignment vertical="top"/>
    </xf>
    <xf numFmtId="0" fontId="14" fillId="0" borderId="0" xfId="0" applyFont="1" applyAlignment="1">
      <alignment vertical="top"/>
    </xf>
    <xf numFmtId="3" fontId="16" fillId="2" borderId="0" xfId="0" applyNumberFormat="1" applyFont="1" applyFill="1" applyAlignment="1">
      <alignment vertical="top" wrapText="1"/>
    </xf>
    <xf numFmtId="0" fontId="11" fillId="0" borderId="0" xfId="0" applyFont="1" applyAlignment="1">
      <alignment horizontal="left" vertical="top" wrapText="1"/>
    </xf>
    <xf numFmtId="0" fontId="11" fillId="0" borderId="1" xfId="0" applyFont="1" applyBorder="1" applyAlignment="1">
      <alignment horizontal="center" vertical="top" wrapText="1"/>
    </xf>
    <xf numFmtId="17" fontId="11" fillId="0" borderId="1" xfId="0" applyNumberFormat="1" applyFont="1" applyBorder="1" applyAlignment="1">
      <alignment horizontal="center" vertical="top" wrapText="1"/>
    </xf>
    <xf numFmtId="0" fontId="11" fillId="0" borderId="0" xfId="0" applyFont="1" applyAlignment="1">
      <alignment horizontal="center" vertical="top" wrapText="1"/>
    </xf>
    <xf numFmtId="0" fontId="14" fillId="0" borderId="0" xfId="0" applyFont="1" applyAlignment="1">
      <alignment horizontal="left" vertical="top" wrapText="1"/>
    </xf>
    <xf numFmtId="3" fontId="14" fillId="2" borderId="2" xfId="0" applyNumberFormat="1" applyFont="1" applyFill="1" applyBorder="1" applyAlignment="1">
      <alignment horizontal="center" vertical="top" wrapText="1"/>
    </xf>
    <xf numFmtId="0" fontId="11" fillId="0" borderId="0" xfId="0" applyFont="1" applyAlignment="1">
      <alignment vertical="top" wrapText="1"/>
    </xf>
    <xf numFmtId="0" fontId="11" fillId="0" borderId="0" xfId="0" applyFont="1" applyAlignment="1">
      <alignment vertical="top" wrapText="1"/>
    </xf>
    <xf numFmtId="0" fontId="11" fillId="0" borderId="0" xfId="0" applyFont="1" applyAlignment="1">
      <alignment vertical="top" wrapText="1"/>
    </xf>
    <xf numFmtId="0" fontId="11" fillId="0" borderId="0" xfId="0" applyFont="1" applyAlignment="1">
      <alignment vertical="top" wrapText="1"/>
    </xf>
    <xf numFmtId="166" fontId="11" fillId="0" borderId="0" xfId="41" applyNumberFormat="1" applyFont="1" applyAlignment="1">
      <alignment vertical="top" wrapText="1"/>
    </xf>
    <xf numFmtId="0" fontId="11" fillId="0" borderId="0" xfId="0" applyFont="1" applyAlignment="1">
      <alignment vertical="top" wrapText="1"/>
    </xf>
    <xf numFmtId="0" fontId="11" fillId="0" borderId="0" xfId="0" applyFont="1" applyAlignment="1">
      <alignment vertical="top" wrapText="1"/>
    </xf>
    <xf numFmtId="3" fontId="0" fillId="0" borderId="0" xfId="0" applyNumberFormat="1" applyAlignment="1">
      <alignment horizontal="center"/>
    </xf>
    <xf numFmtId="0" fontId="17" fillId="0" borderId="0" xfId="0" applyFont="1"/>
    <xf numFmtId="0" fontId="18" fillId="0" borderId="0" xfId="0" applyFont="1"/>
    <xf numFmtId="0" fontId="0" fillId="0" borderId="0" xfId="0" applyFont="1"/>
    <xf numFmtId="3" fontId="0" fillId="0" borderId="0" xfId="0" applyNumberFormat="1" applyFont="1" applyAlignment="1">
      <alignment horizontal="center"/>
    </xf>
    <xf numFmtId="0" fontId="0" fillId="0" borderId="0" xfId="0" applyFont="1" applyBorder="1"/>
    <xf numFmtId="3" fontId="0" fillId="0" borderId="0" xfId="0" applyNumberFormat="1" applyFont="1" applyBorder="1" applyAlignment="1">
      <alignment horizontal="center"/>
    </xf>
    <xf numFmtId="0" fontId="0" fillId="0" borderId="0" xfId="0" applyFont="1" applyBorder="1" applyAlignment="1">
      <alignment vertical="top" wrapText="1"/>
    </xf>
    <xf numFmtId="0" fontId="17" fillId="2" borderId="4" xfId="0" applyFont="1" applyFill="1" applyBorder="1" applyAlignment="1">
      <alignment horizontal="center" vertical="top" wrapText="1"/>
    </xf>
    <xf numFmtId="0" fontId="0" fillId="0" borderId="0" xfId="0" applyFill="1"/>
    <xf numFmtId="0" fontId="17" fillId="0" borderId="0" xfId="0" applyFont="1" applyFill="1" applyBorder="1" applyAlignment="1">
      <alignment horizontal="center" vertical="top" wrapText="1"/>
    </xf>
    <xf numFmtId="0" fontId="19" fillId="0" borderId="0" xfId="0" applyFont="1"/>
    <xf numFmtId="0" fontId="19" fillId="0" borderId="0" xfId="0" applyFont="1" applyFill="1"/>
    <xf numFmtId="0" fontId="0" fillId="0" borderId="0" xfId="0" applyAlignment="1">
      <alignment horizontal="center"/>
    </xf>
    <xf numFmtId="3" fontId="17" fillId="0" borderId="0" xfId="0" applyNumberFormat="1" applyFont="1" applyAlignment="1">
      <alignment horizontal="center"/>
    </xf>
    <xf numFmtId="3" fontId="0" fillId="0" borderId="0" xfId="0" applyNumberFormat="1" applyFont="1" applyBorder="1" applyAlignment="1">
      <alignment horizontal="center" wrapText="1"/>
    </xf>
    <xf numFmtId="3" fontId="17" fillId="0" borderId="5" xfId="0" applyNumberFormat="1" applyFont="1" applyBorder="1" applyAlignment="1">
      <alignment horizontal="center"/>
    </xf>
    <xf numFmtId="9" fontId="0" fillId="0" borderId="0" xfId="41" applyFont="1" applyAlignment="1">
      <alignment horizontal="center"/>
    </xf>
    <xf numFmtId="9" fontId="17" fillId="0" borderId="0" xfId="0" applyNumberFormat="1" applyFont="1" applyAlignment="1">
      <alignment horizontal="center"/>
    </xf>
    <xf numFmtId="0" fontId="20" fillId="0" borderId="0" xfId="0" applyFont="1"/>
    <xf numFmtId="3" fontId="17" fillId="0" borderId="7" xfId="0" applyNumberFormat="1" applyFont="1" applyBorder="1" applyAlignment="1">
      <alignment horizontal="center"/>
    </xf>
    <xf numFmtId="0" fontId="21" fillId="0" borderId="0" xfId="0" applyFont="1"/>
    <xf numFmtId="0" fontId="21" fillId="0" borderId="0" xfId="0" applyFont="1" applyFill="1"/>
    <xf numFmtId="3" fontId="17" fillId="0" borderId="0" xfId="0" applyNumberFormat="1" applyFont="1" applyBorder="1" applyAlignment="1">
      <alignment horizontal="center"/>
    </xf>
    <xf numFmtId="0" fontId="21" fillId="0" borderId="0" xfId="0" applyFont="1" applyAlignment="1">
      <alignment vertical="top"/>
    </xf>
    <xf numFmtId="0" fontId="18" fillId="0" borderId="0" xfId="0" applyFont="1" applyAlignment="1">
      <alignment vertical="top"/>
    </xf>
    <xf numFmtId="0" fontId="0" fillId="0" borderId="0" xfId="0" applyAlignment="1">
      <alignment vertical="top"/>
    </xf>
    <xf numFmtId="0" fontId="0" fillId="0" borderId="0" xfId="0" applyAlignment="1">
      <alignment horizontal="center" vertical="top"/>
    </xf>
    <xf numFmtId="0" fontId="18" fillId="0" borderId="0" xfId="0" applyFont="1" applyAlignment="1">
      <alignment horizontal="center" vertical="top" wrapText="1"/>
    </xf>
    <xf numFmtId="3" fontId="18" fillId="0" borderId="0" xfId="0" applyNumberFormat="1" applyFont="1" applyAlignment="1">
      <alignment horizontal="center" vertical="top" wrapText="1"/>
    </xf>
    <xf numFmtId="3" fontId="0" fillId="0" borderId="0" xfId="0" applyNumberFormat="1"/>
    <xf numFmtId="0" fontId="0" fillId="0" borderId="0" xfId="0" applyFont="1" applyAlignment="1">
      <alignment horizontal="center"/>
    </xf>
    <xf numFmtId="0" fontId="0" fillId="0" borderId="0" xfId="0" applyFont="1" applyBorder="1" applyAlignment="1">
      <alignment horizontal="center"/>
    </xf>
    <xf numFmtId="0" fontId="0" fillId="0" borderId="0" xfId="0" applyFont="1" applyBorder="1" applyAlignment="1">
      <alignment horizontal="center" vertical="top" wrapText="1"/>
    </xf>
    <xf numFmtId="0" fontId="0" fillId="0" borderId="0" xfId="0" applyFont="1" applyFill="1" applyBorder="1" applyAlignment="1">
      <alignment horizontal="center"/>
    </xf>
    <xf numFmtId="0" fontId="0" fillId="0" borderId="0" xfId="0" applyAlignment="1">
      <alignment horizontal="left"/>
    </xf>
    <xf numFmtId="0" fontId="17" fillId="0" borderId="0" xfId="0" applyFont="1" applyAlignment="1">
      <alignment horizontal="left"/>
    </xf>
    <xf numFmtId="0" fontId="18" fillId="0" borderId="0" xfId="0" quotePrefix="1" applyFont="1" applyAlignment="1">
      <alignment vertical="top"/>
    </xf>
    <xf numFmtId="0" fontId="18" fillId="0" borderId="0" xfId="0" quotePrefix="1" applyFont="1"/>
    <xf numFmtId="165" fontId="0" fillId="0" borderId="0" xfId="184" applyFont="1"/>
    <xf numFmtId="0" fontId="17" fillId="0" borderId="6" xfId="0" applyFont="1" applyBorder="1" applyAlignment="1">
      <alignment horizontal="center"/>
    </xf>
    <xf numFmtId="4" fontId="0" fillId="0" borderId="0" xfId="0" applyNumberFormat="1" applyAlignment="1">
      <alignment horizontal="center"/>
    </xf>
    <xf numFmtId="3" fontId="0" fillId="0" borderId="0" xfId="0" quotePrefix="1" applyNumberFormat="1"/>
    <xf numFmtId="0" fontId="0" fillId="0" borderId="0" xfId="0" quotePrefix="1"/>
    <xf numFmtId="2" fontId="0" fillId="0" borderId="0" xfId="0" applyNumberFormat="1"/>
    <xf numFmtId="3" fontId="0" fillId="0" borderId="0" xfId="0" applyNumberFormat="1" applyAlignment="1">
      <alignment horizontal="right"/>
    </xf>
    <xf numFmtId="3" fontId="17" fillId="0" borderId="0" xfId="0" applyNumberFormat="1" applyFont="1" applyAlignment="1">
      <alignment horizontal="right"/>
    </xf>
    <xf numFmtId="4" fontId="0" fillId="3" borderId="0" xfId="0" applyNumberFormat="1" applyFill="1" applyAlignment="1">
      <alignment horizontal="right"/>
    </xf>
    <xf numFmtId="0" fontId="17" fillId="0" borderId="0" xfId="0" applyFont="1" applyAlignment="1">
      <alignment horizontal="right"/>
    </xf>
    <xf numFmtId="0" fontId="22" fillId="0" borderId="8" xfId="0" applyFont="1" applyBorder="1"/>
    <xf numFmtId="0" fontId="0" fillId="0" borderId="9" xfId="0" applyBorder="1"/>
    <xf numFmtId="0" fontId="0" fillId="0" borderId="9" xfId="0" applyBorder="1" applyAlignment="1">
      <alignment horizontal="center"/>
    </xf>
    <xf numFmtId="3" fontId="0" fillId="0" borderId="9" xfId="0" applyNumberFormat="1" applyBorder="1"/>
    <xf numFmtId="0" fontId="18" fillId="0" borderId="11" xfId="0" applyFont="1" applyBorder="1"/>
    <xf numFmtId="0" fontId="0" fillId="0" borderId="0" xfId="0" applyBorder="1"/>
    <xf numFmtId="0" fontId="18" fillId="0" borderId="0" xfId="0" applyFont="1" applyBorder="1" applyAlignment="1">
      <alignment horizontal="center" vertical="top" wrapText="1"/>
    </xf>
    <xf numFmtId="3" fontId="18" fillId="0" borderId="0" xfId="0" applyNumberFormat="1" applyFont="1" applyBorder="1" applyAlignment="1">
      <alignment horizontal="center" vertical="top" wrapText="1"/>
    </xf>
    <xf numFmtId="0" fontId="0" fillId="0" borderId="0" xfId="0" applyBorder="1" applyAlignment="1">
      <alignment horizontal="center"/>
    </xf>
    <xf numFmtId="3" fontId="0" fillId="0" borderId="0" xfId="0" applyNumberFormat="1" applyBorder="1"/>
    <xf numFmtId="0" fontId="0" fillId="0" borderId="12" xfId="0" applyBorder="1"/>
    <xf numFmtId="0" fontId="0" fillId="0" borderId="11" xfId="0" applyBorder="1"/>
    <xf numFmtId="0" fontId="0" fillId="0" borderId="13" xfId="0" applyBorder="1"/>
    <xf numFmtId="0" fontId="0" fillId="0" borderId="6" xfId="0" applyBorder="1"/>
    <xf numFmtId="0" fontId="0" fillId="0" borderId="6" xfId="0" applyBorder="1" applyAlignment="1">
      <alignment horizontal="center"/>
    </xf>
    <xf numFmtId="3" fontId="0" fillId="0" borderId="6" xfId="0" applyNumberFormat="1" applyBorder="1"/>
    <xf numFmtId="3" fontId="0" fillId="0" borderId="0" xfId="0" applyNumberFormat="1" applyBorder="1" applyAlignment="1">
      <alignment horizontal="center"/>
    </xf>
    <xf numFmtId="3" fontId="0" fillId="0" borderId="6" xfId="0" applyNumberFormat="1" applyBorder="1" applyAlignment="1">
      <alignment horizontal="center"/>
    </xf>
    <xf numFmtId="0" fontId="17" fillId="0" borderId="11" xfId="0" applyFont="1" applyBorder="1"/>
    <xf numFmtId="0" fontId="17" fillId="0" borderId="0" xfId="0" applyFont="1" applyBorder="1"/>
    <xf numFmtId="3" fontId="18" fillId="0" borderId="0" xfId="0" applyNumberFormat="1" applyFont="1" applyBorder="1" applyAlignment="1">
      <alignment horizontal="center" wrapText="1"/>
    </xf>
    <xf numFmtId="0" fontId="17" fillId="0" borderId="6" xfId="0" applyFont="1" applyBorder="1" applyAlignment="1">
      <alignment horizontal="center" wrapText="1"/>
    </xf>
    <xf numFmtId="0" fontId="0" fillId="0" borderId="0" xfId="0" applyFont="1" applyBorder="1" applyAlignment="1">
      <alignment horizontal="right"/>
    </xf>
    <xf numFmtId="3" fontId="0" fillId="0" borderId="12" xfId="0" applyNumberFormat="1" applyBorder="1"/>
    <xf numFmtId="0" fontId="17" fillId="0" borderId="14" xfId="0" applyFont="1" applyBorder="1" applyAlignment="1">
      <alignment horizontal="center" wrapText="1"/>
    </xf>
    <xf numFmtId="168" fontId="0" fillId="0" borderId="0" xfId="0" applyNumberFormat="1" applyBorder="1" applyAlignment="1">
      <alignment horizontal="center"/>
    </xf>
    <xf numFmtId="0" fontId="22" fillId="0" borderId="11" xfId="0" applyFont="1" applyBorder="1"/>
    <xf numFmtId="167" fontId="0" fillId="0" borderId="0" xfId="0" applyNumberFormat="1" applyBorder="1" applyAlignment="1">
      <alignment horizontal="center"/>
    </xf>
    <xf numFmtId="0" fontId="0" fillId="0" borderId="12" xfId="0" applyBorder="1" applyAlignment="1">
      <alignment horizontal="center"/>
    </xf>
    <xf numFmtId="0" fontId="18" fillId="0" borderId="0" xfId="0" applyFont="1" applyBorder="1" applyAlignment="1">
      <alignment horizontal="center"/>
    </xf>
    <xf numFmtId="0" fontId="18" fillId="0" borderId="9" xfId="0" applyFont="1" applyBorder="1" applyAlignment="1">
      <alignment horizontal="center"/>
    </xf>
    <xf numFmtId="0" fontId="18" fillId="0" borderId="10" xfId="0" applyFont="1" applyBorder="1"/>
    <xf numFmtId="0" fontId="17" fillId="0" borderId="13" xfId="0" applyFont="1" applyBorder="1" applyAlignment="1">
      <alignment horizontal="center" wrapText="1"/>
    </xf>
    <xf numFmtId="3" fontId="0" fillId="0" borderId="14" xfId="0" applyNumberFormat="1" applyBorder="1"/>
    <xf numFmtId="0" fontId="18" fillId="0" borderId="8" xfId="0" applyFont="1" applyBorder="1" applyAlignment="1">
      <alignment horizontal="left"/>
    </xf>
    <xf numFmtId="0" fontId="0" fillId="0" borderId="11" xfId="0" applyBorder="1" applyAlignment="1">
      <alignment horizontal="center"/>
    </xf>
    <xf numFmtId="3" fontId="0" fillId="0" borderId="11" xfId="0" applyNumberFormat="1" applyBorder="1" applyAlignment="1">
      <alignment horizontal="center"/>
    </xf>
    <xf numFmtId="3" fontId="0" fillId="0" borderId="13" xfId="0" applyNumberFormat="1" applyBorder="1" applyAlignment="1">
      <alignment horizontal="center"/>
    </xf>
    <xf numFmtId="0" fontId="18" fillId="0" borderId="9" xfId="0" applyFont="1" applyBorder="1" applyAlignment="1">
      <alignment horizontal="left"/>
    </xf>
    <xf numFmtId="0" fontId="18" fillId="0" borderId="12" xfId="0" applyFont="1" applyBorder="1"/>
    <xf numFmtId="0" fontId="23" fillId="0" borderId="0" xfId="0" applyFont="1"/>
    <xf numFmtId="0" fontId="17" fillId="0" borderId="0" xfId="0" applyFont="1" applyAlignment="1">
      <alignment vertical="top"/>
    </xf>
    <xf numFmtId="3" fontId="17" fillId="0" borderId="0" xfId="0" applyNumberFormat="1" applyFont="1" applyAlignment="1">
      <alignment horizontal="center" vertical="top"/>
    </xf>
    <xf numFmtId="2" fontId="0" fillId="0" borderId="0" xfId="0" applyNumberFormat="1" applyAlignment="1">
      <alignment vertical="top"/>
    </xf>
    <xf numFmtId="9" fontId="6" fillId="0" borderId="0" xfId="41" applyFont="1" applyBorder="1" applyAlignment="1">
      <alignment horizontal="center"/>
    </xf>
    <xf numFmtId="9" fontId="6" fillId="0" borderId="0" xfId="41" applyFont="1" applyBorder="1" applyAlignment="1">
      <alignment horizontal="right"/>
    </xf>
    <xf numFmtId="0" fontId="17" fillId="0" borderId="0" xfId="0" applyFont="1" applyBorder="1" applyAlignment="1">
      <alignment horizontal="center"/>
    </xf>
    <xf numFmtId="0" fontId="0" fillId="0" borderId="0" xfId="0" applyFont="1" applyFill="1" applyBorder="1"/>
    <xf numFmtId="0" fontId="0" fillId="0" borderId="0" xfId="0" applyAlignment="1">
      <alignment vertical="top" wrapText="1"/>
    </xf>
    <xf numFmtId="9" fontId="17" fillId="0" borderId="5" xfId="0" applyNumberFormat="1" applyFont="1" applyBorder="1" applyAlignment="1">
      <alignment horizontal="center"/>
    </xf>
    <xf numFmtId="0" fontId="24" fillId="0" borderId="0" xfId="0" applyFont="1" applyFill="1" applyBorder="1"/>
    <xf numFmtId="0" fontId="24" fillId="0" borderId="0" xfId="0" applyFont="1" applyFill="1" applyBorder="1" applyAlignment="1">
      <alignment horizontal="center" vertical="top" wrapText="1"/>
    </xf>
    <xf numFmtId="0" fontId="25" fillId="0" borderId="0" xfId="0" applyFont="1"/>
    <xf numFmtId="0" fontId="25" fillId="0" borderId="0" xfId="0" applyFont="1" applyAlignment="1">
      <alignment horizontal="center"/>
    </xf>
    <xf numFmtId="3" fontId="25" fillId="0" borderId="0" xfId="0" applyNumberFormat="1" applyFont="1" applyAlignment="1">
      <alignment horizontal="center"/>
    </xf>
    <xf numFmtId="3" fontId="26" fillId="0" borderId="5" xfId="0" applyNumberFormat="1" applyFont="1" applyBorder="1" applyAlignment="1">
      <alignment horizontal="center"/>
    </xf>
    <xf numFmtId="0" fontId="26" fillId="0" borderId="0" xfId="0" applyFont="1"/>
    <xf numFmtId="0" fontId="26" fillId="0" borderId="0" xfId="0" applyFont="1" applyAlignment="1">
      <alignment horizontal="center"/>
    </xf>
    <xf numFmtId="3" fontId="17" fillId="0" borderId="0" xfId="0" applyNumberFormat="1" applyFont="1"/>
    <xf numFmtId="3" fontId="25" fillId="0" borderId="0" xfId="0" applyNumberFormat="1" applyFont="1"/>
    <xf numFmtId="9" fontId="0" fillId="0" borderId="0" xfId="41" applyFont="1"/>
    <xf numFmtId="9" fontId="17" fillId="0" borderId="0" xfId="41" applyFont="1"/>
    <xf numFmtId="0" fontId="27" fillId="0" borderId="0" xfId="0" applyFont="1" applyAlignment="1">
      <alignment horizontal="left" vertical="center"/>
    </xf>
    <xf numFmtId="0" fontId="28" fillId="0" borderId="0" xfId="0" applyFont="1"/>
    <xf numFmtId="0" fontId="27" fillId="0" borderId="0" xfId="0" applyFont="1" applyAlignment="1">
      <alignment horizontal="center" vertical="center" wrapText="1"/>
    </xf>
    <xf numFmtId="0" fontId="29" fillId="0" borderId="0" xfId="0" applyFont="1" applyAlignment="1">
      <alignment horizontal="left" vertical="center"/>
    </xf>
    <xf numFmtId="3" fontId="29" fillId="0" borderId="0" xfId="0" applyNumberFormat="1" applyFont="1" applyAlignment="1">
      <alignment horizontal="center" vertical="center"/>
    </xf>
    <xf numFmtId="0" fontId="29" fillId="0" borderId="0" xfId="0" applyFont="1"/>
    <xf numFmtId="3" fontId="29" fillId="0" borderId="0" xfId="0" applyNumberFormat="1" applyFont="1" applyAlignment="1">
      <alignment horizontal="center"/>
    </xf>
    <xf numFmtId="3" fontId="29" fillId="0" borderId="0" xfId="0" applyNumberFormat="1" applyFont="1" applyAlignment="1">
      <alignment horizontal="center" vertical="center" wrapText="1"/>
    </xf>
    <xf numFmtId="0" fontId="27" fillId="0" borderId="4" xfId="0" applyFont="1" applyBorder="1" applyAlignment="1">
      <alignment horizontal="center" vertical="center" wrapText="1"/>
    </xf>
    <xf numFmtId="9" fontId="29" fillId="0" borderId="0" xfId="41" applyFont="1" applyAlignment="1">
      <alignment horizontal="center" vertical="center"/>
    </xf>
    <xf numFmtId="0" fontId="0" fillId="0" borderId="0" xfId="0" applyFont="1" applyAlignment="1">
      <alignment horizontal="left"/>
    </xf>
    <xf numFmtId="0" fontId="0" fillId="0" borderId="0" xfId="0" quotePrefix="1" applyAlignment="1">
      <alignment horizontal="left"/>
    </xf>
    <xf numFmtId="3" fontId="0" fillId="0" borderId="0" xfId="0" applyNumberFormat="1" applyAlignment="1">
      <alignment horizontal="left"/>
    </xf>
    <xf numFmtId="0" fontId="0" fillId="0" borderId="6" xfId="0" applyBorder="1" applyAlignment="1">
      <alignment horizontal="center" wrapText="1"/>
    </xf>
    <xf numFmtId="0" fontId="17" fillId="0" borderId="6" xfId="0" applyFont="1" applyBorder="1"/>
    <xf numFmtId="3" fontId="0" fillId="0" borderId="0" xfId="0" applyNumberFormat="1" applyAlignment="1">
      <alignment vertical="top"/>
    </xf>
    <xf numFmtId="0" fontId="0" fillId="0" borderId="0" xfId="0" applyAlignment="1">
      <alignment horizontal="right"/>
    </xf>
    <xf numFmtId="0" fontId="30" fillId="0" borderId="0" xfId="0" applyFont="1"/>
    <xf numFmtId="0" fontId="30" fillId="0" borderId="0" xfId="0" applyFont="1" applyFill="1"/>
    <xf numFmtId="0" fontId="32" fillId="0" borderId="0" xfId="0" applyFont="1" applyFill="1" applyBorder="1" applyAlignment="1">
      <alignment horizontal="center" vertical="top" wrapText="1"/>
    </xf>
    <xf numFmtId="0" fontId="32" fillId="0" borderId="0" xfId="0" applyFont="1" applyAlignment="1">
      <alignment vertical="top"/>
    </xf>
    <xf numFmtId="0" fontId="21" fillId="0" borderId="0" xfId="0" applyFont="1" applyAlignment="1">
      <alignment horizontal="center" vertical="top"/>
    </xf>
    <xf numFmtId="0" fontId="21" fillId="0" borderId="0" xfId="0" applyFont="1" applyAlignment="1">
      <alignment horizontal="center"/>
    </xf>
    <xf numFmtId="3" fontId="21" fillId="0" borderId="0" xfId="0" applyNumberFormat="1" applyFont="1" applyAlignment="1">
      <alignment horizontal="center"/>
    </xf>
    <xf numFmtId="0" fontId="32" fillId="0" borderId="0" xfId="0" applyFont="1"/>
    <xf numFmtId="0" fontId="21" fillId="0" borderId="0" xfId="0" applyFont="1" applyBorder="1"/>
    <xf numFmtId="0" fontId="21" fillId="0" borderId="0" xfId="0" applyFont="1" applyBorder="1" applyAlignment="1">
      <alignment horizontal="center"/>
    </xf>
    <xf numFmtId="3" fontId="21" fillId="0" borderId="0" xfId="0" applyNumberFormat="1" applyFont="1" applyBorder="1" applyAlignment="1">
      <alignment horizontal="center"/>
    </xf>
    <xf numFmtId="0" fontId="21" fillId="0" borderId="0" xfId="0" applyFont="1" applyFill="1" applyBorder="1"/>
    <xf numFmtId="0" fontId="32" fillId="0" borderId="0" xfId="0" applyFont="1" applyFill="1" applyBorder="1"/>
    <xf numFmtId="0" fontId="32" fillId="0" borderId="0" xfId="0" applyFont="1" applyBorder="1"/>
    <xf numFmtId="168" fontId="0" fillId="0" borderId="0" xfId="0" applyNumberFormat="1"/>
    <xf numFmtId="0" fontId="0" fillId="0" borderId="0" xfId="0" applyFont="1" applyBorder="1" applyAlignment="1">
      <alignment vertical="top"/>
    </xf>
    <xf numFmtId="4" fontId="0" fillId="0" borderId="0" xfId="0" applyNumberFormat="1" applyFill="1" applyAlignment="1">
      <alignment horizontal="right"/>
    </xf>
    <xf numFmtId="0" fontId="33" fillId="0" borderId="0" xfId="0" applyFont="1"/>
    <xf numFmtId="0" fontId="33" fillId="0" borderId="0" xfId="0" applyFont="1" applyBorder="1" applyAlignment="1">
      <alignment vertical="top" wrapText="1"/>
    </xf>
    <xf numFmtId="0" fontId="33" fillId="0" borderId="0" xfId="0" applyFont="1" applyBorder="1"/>
    <xf numFmtId="0" fontId="33" fillId="0" borderId="0" xfId="0" applyFont="1" applyFill="1" applyBorder="1"/>
    <xf numFmtId="3" fontId="33" fillId="0" borderId="0" xfId="0" applyNumberFormat="1" applyFont="1" applyBorder="1" applyAlignment="1">
      <alignment horizontal="center"/>
    </xf>
    <xf numFmtId="0" fontId="34" fillId="0" borderId="0" xfId="0" applyFont="1"/>
    <xf numFmtId="3" fontId="35" fillId="0" borderId="0" xfId="0" applyNumberFormat="1" applyFont="1" applyBorder="1" applyAlignment="1">
      <alignment horizontal="center"/>
    </xf>
    <xf numFmtId="0" fontId="33" fillId="0" borderId="0" xfId="0" applyFont="1" applyAlignment="1">
      <alignment horizontal="left"/>
    </xf>
    <xf numFmtId="3" fontId="0" fillId="0" borderId="0" xfId="0" applyNumberFormat="1" applyFont="1" applyBorder="1" applyAlignment="1">
      <alignment horizontal="center" vertical="top" wrapText="1"/>
    </xf>
    <xf numFmtId="3" fontId="0" fillId="0" borderId="0" xfId="0" applyNumberFormat="1" applyFont="1" applyFill="1" applyBorder="1" applyAlignment="1">
      <alignment horizontal="center"/>
    </xf>
    <xf numFmtId="3" fontId="17" fillId="2" borderId="4" xfId="0" applyNumberFormat="1" applyFont="1" applyFill="1" applyBorder="1" applyAlignment="1">
      <alignment horizontal="center" vertical="top" wrapText="1"/>
    </xf>
    <xf numFmtId="3" fontId="17" fillId="0" borderId="0" xfId="0" applyNumberFormat="1" applyFont="1" applyAlignment="1">
      <alignment horizontal="left"/>
    </xf>
    <xf numFmtId="0" fontId="0" fillId="0" borderId="0" xfId="0" applyFont="1" applyAlignment="1">
      <alignment horizontal="left" vertical="center"/>
    </xf>
    <xf numFmtId="3" fontId="28" fillId="0" borderId="0" xfId="0" applyNumberFormat="1" applyFont="1" applyAlignment="1">
      <alignment horizontal="center"/>
    </xf>
    <xf numFmtId="0" fontId="28" fillId="0" borderId="0" xfId="0" applyFont="1" applyFill="1" applyBorder="1"/>
    <xf numFmtId="3" fontId="21" fillId="0" borderId="6" xfId="0" applyNumberFormat="1" applyFont="1" applyBorder="1" applyAlignment="1">
      <alignment horizontal="center"/>
    </xf>
    <xf numFmtId="4" fontId="0" fillId="0" borderId="0" xfId="0" applyNumberFormat="1" applyAlignment="1">
      <alignment vertical="top"/>
    </xf>
    <xf numFmtId="3" fontId="0" fillId="0" borderId="6" xfId="0" applyNumberFormat="1" applyBorder="1" applyAlignment="1">
      <alignment horizontal="right"/>
    </xf>
    <xf numFmtId="166" fontId="0" fillId="0" borderId="0" xfId="41" applyNumberFormat="1" applyFont="1" applyAlignment="1">
      <alignment vertical="top"/>
    </xf>
    <xf numFmtId="3" fontId="17" fillId="2" borderId="0" xfId="0" applyNumberFormat="1" applyFont="1" applyFill="1" applyBorder="1" applyAlignment="1">
      <alignment horizontal="center" vertical="top" wrapText="1"/>
    </xf>
    <xf numFmtId="0" fontId="36" fillId="0" borderId="0" xfId="0" applyFont="1"/>
    <xf numFmtId="0" fontId="36" fillId="0" borderId="0" xfId="0" applyFont="1" applyBorder="1" applyAlignment="1">
      <alignment vertical="top" wrapText="1"/>
    </xf>
    <xf numFmtId="0" fontId="38" fillId="0" borderId="0" xfId="629" applyFont="1" applyAlignment="1">
      <alignment wrapText="1"/>
    </xf>
    <xf numFmtId="0" fontId="38" fillId="0" borderId="0" xfId="629" applyFont="1"/>
    <xf numFmtId="0" fontId="39" fillId="0" borderId="0" xfId="629" applyFont="1" applyAlignment="1">
      <alignment wrapText="1"/>
    </xf>
    <xf numFmtId="0" fontId="37" fillId="0" borderId="0" xfId="629" applyAlignment="1">
      <alignment wrapText="1"/>
    </xf>
    <xf numFmtId="0" fontId="37" fillId="0" borderId="0" xfId="629" applyAlignment="1">
      <alignment horizontal="center" wrapText="1"/>
    </xf>
    <xf numFmtId="0" fontId="38" fillId="0" borderId="0" xfId="629" applyFont="1" applyAlignment="1">
      <alignment horizontal="center" wrapText="1"/>
    </xf>
    <xf numFmtId="0" fontId="39" fillId="0" borderId="0" xfId="629" applyFont="1" applyAlignment="1">
      <alignment horizontal="center" wrapText="1"/>
    </xf>
    <xf numFmtId="0" fontId="39" fillId="0" borderId="0" xfId="629" applyFont="1" applyAlignment="1">
      <alignment vertical="top" wrapText="1"/>
    </xf>
    <xf numFmtId="0" fontId="39" fillId="0" borderId="0" xfId="629" applyFont="1" applyAlignment="1">
      <alignment horizontal="center" vertical="top" wrapText="1"/>
    </xf>
    <xf numFmtId="0" fontId="39" fillId="4" borderId="0" xfId="629" applyFont="1" applyFill="1" applyAlignment="1">
      <alignment vertical="top" wrapText="1"/>
    </xf>
    <xf numFmtId="0" fontId="17" fillId="2" borderId="6" xfId="0" applyFont="1" applyFill="1" applyBorder="1"/>
    <xf numFmtId="0" fontId="22" fillId="0" borderId="0" xfId="0" applyFont="1"/>
    <xf numFmtId="0" fontId="37" fillId="0" borderId="0" xfId="629" applyAlignment="1">
      <alignment vertical="top" wrapText="1"/>
    </xf>
    <xf numFmtId="0" fontId="17" fillId="2" borderId="6" xfId="0" applyFont="1" applyFill="1" applyBorder="1" applyAlignment="1">
      <alignment wrapText="1"/>
    </xf>
    <xf numFmtId="0" fontId="39" fillId="0" borderId="0" xfId="629" applyFont="1" applyFill="1" applyAlignment="1">
      <alignment vertical="top" wrapText="1"/>
    </xf>
    <xf numFmtId="0" fontId="41" fillId="0" borderId="6" xfId="0" applyFont="1" applyBorder="1" applyAlignment="1">
      <alignment horizontal="center" wrapText="1"/>
    </xf>
    <xf numFmtId="0" fontId="0" fillId="0" borderId="15" xfId="0" applyBorder="1"/>
    <xf numFmtId="0" fontId="0" fillId="0" borderId="15" xfId="0" applyBorder="1" applyAlignment="1">
      <alignment horizontal="center"/>
    </xf>
    <xf numFmtId="3" fontId="0" fillId="0" borderId="15" xfId="0" applyNumberFormat="1" applyBorder="1" applyAlignment="1">
      <alignment horizontal="center"/>
    </xf>
    <xf numFmtId="0" fontId="0" fillId="0" borderId="16" xfId="0" applyBorder="1" applyAlignment="1">
      <alignment horizontal="center"/>
    </xf>
    <xf numFmtId="3" fontId="0" fillId="0" borderId="16" xfId="0" applyNumberFormat="1" applyBorder="1" applyAlignment="1">
      <alignment horizontal="center"/>
    </xf>
    <xf numFmtId="9" fontId="43" fillId="0" borderId="0" xfId="41" applyFont="1" applyAlignment="1">
      <alignment horizontal="left"/>
    </xf>
    <xf numFmtId="0" fontId="43" fillId="0" borderId="0" xfId="0" applyFont="1" applyAlignment="1">
      <alignment horizontal="left"/>
    </xf>
    <xf numFmtId="9" fontId="43" fillId="3" borderId="0" xfId="41" applyFont="1" applyFill="1" applyAlignment="1">
      <alignment horizontal="left"/>
    </xf>
    <xf numFmtId="0" fontId="22" fillId="0" borderId="0" xfId="0" applyFont="1" applyAlignment="1">
      <alignment vertical="top" wrapText="1"/>
    </xf>
    <xf numFmtId="0" fontId="43" fillId="0" borderId="6" xfId="0" applyFont="1" applyBorder="1" applyAlignment="1">
      <alignment horizontal="left" wrapText="1"/>
    </xf>
    <xf numFmtId="9" fontId="44" fillId="0" borderId="0" xfId="41" applyFont="1" applyAlignment="1">
      <alignment horizontal="left"/>
    </xf>
    <xf numFmtId="3" fontId="17" fillId="0" borderId="5" xfId="0" applyNumberFormat="1" applyFont="1" applyBorder="1"/>
    <xf numFmtId="166" fontId="43" fillId="3" borderId="0" xfId="41" applyNumberFormat="1" applyFont="1" applyFill="1" applyAlignment="1">
      <alignment horizontal="left"/>
    </xf>
    <xf numFmtId="166" fontId="43" fillId="0" borderId="0" xfId="41" applyNumberFormat="1" applyFont="1" applyAlignment="1">
      <alignment horizontal="left"/>
    </xf>
    <xf numFmtId="9" fontId="43" fillId="0" borderId="6" xfId="41" applyFont="1" applyBorder="1" applyAlignment="1">
      <alignment horizontal="left"/>
    </xf>
    <xf numFmtId="9" fontId="44" fillId="0" borderId="5" xfId="41" applyFont="1" applyBorder="1" applyAlignment="1">
      <alignment horizontal="left"/>
    </xf>
    <xf numFmtId="3" fontId="28" fillId="0" borderId="0" xfId="0" applyNumberFormat="1" applyFont="1"/>
    <xf numFmtId="0" fontId="31" fillId="0" borderId="0" xfId="0" applyFont="1" applyFill="1" applyBorder="1" applyAlignment="1">
      <alignment horizontal="center" wrapText="1"/>
    </xf>
    <xf numFmtId="0" fontId="31" fillId="0" borderId="0" xfId="0" applyFont="1" applyFill="1" applyBorder="1" applyAlignment="1">
      <alignment horizontal="left" wrapText="1"/>
    </xf>
    <xf numFmtId="3" fontId="32" fillId="0" borderId="0" xfId="0" applyNumberFormat="1" applyFont="1" applyAlignment="1">
      <alignment horizontal="right" vertical="top"/>
    </xf>
    <xf numFmtId="3" fontId="21" fillId="0" borderId="0" xfId="0" applyNumberFormat="1" applyFont="1" applyBorder="1" applyAlignment="1">
      <alignment horizontal="right"/>
    </xf>
    <xf numFmtId="3" fontId="32" fillId="0" borderId="0" xfId="0" applyNumberFormat="1" applyFont="1" applyBorder="1" applyAlignment="1">
      <alignment horizontal="right"/>
    </xf>
    <xf numFmtId="3" fontId="45" fillId="0" borderId="0" xfId="0" applyNumberFormat="1" applyFont="1"/>
    <xf numFmtId="3" fontId="21" fillId="0" borderId="0" xfId="0" applyNumberFormat="1" applyFont="1" applyAlignment="1">
      <alignment horizontal="right"/>
    </xf>
    <xf numFmtId="3" fontId="28" fillId="0" borderId="0" xfId="0" applyNumberFormat="1" applyFont="1" applyAlignment="1">
      <alignment horizontal="right"/>
    </xf>
    <xf numFmtId="0" fontId="0" fillId="0" borderId="0" xfId="0" applyAlignment="1">
      <alignment horizontal="left" vertical="top"/>
    </xf>
    <xf numFmtId="0" fontId="28" fillId="0" borderId="0" xfId="0" applyFont="1" applyAlignment="1">
      <alignment horizontal="left" vertical="top"/>
    </xf>
    <xf numFmtId="0" fontId="22" fillId="0" borderId="0" xfId="0" applyFont="1" applyAlignment="1">
      <alignment horizontal="left" vertical="top"/>
    </xf>
    <xf numFmtId="0" fontId="17" fillId="0" borderId="0" xfId="0" applyFont="1" applyAlignment="1">
      <alignment horizontal="center"/>
    </xf>
    <xf numFmtId="0" fontId="0" fillId="0" borderId="0" xfId="0" applyFill="1" applyAlignment="1">
      <alignment horizontal="center"/>
    </xf>
    <xf numFmtId="0" fontId="18" fillId="0" borderId="0" xfId="0" applyFont="1" applyAlignment="1">
      <alignment horizontal="center" vertical="top"/>
    </xf>
    <xf numFmtId="9" fontId="0" fillId="0" borderId="0" xfId="41" applyFont="1" applyBorder="1"/>
    <xf numFmtId="9" fontId="0" fillId="0" borderId="0" xfId="41" applyFont="1" applyAlignment="1">
      <alignment vertical="top"/>
    </xf>
    <xf numFmtId="0" fontId="17" fillId="2" borderId="0" xfId="0" applyFont="1" applyFill="1" applyAlignment="1">
      <alignment horizontal="center"/>
    </xf>
    <xf numFmtId="0" fontId="17" fillId="2" borderId="0" xfId="0" applyFont="1" applyFill="1"/>
    <xf numFmtId="0" fontId="28" fillId="0" borderId="0" xfId="0" applyFont="1" applyFill="1" applyAlignment="1">
      <alignment horizontal="left" vertical="top"/>
    </xf>
    <xf numFmtId="0" fontId="46" fillId="0" borderId="0" xfId="0" applyFont="1" applyAlignment="1">
      <alignment horizontal="center"/>
    </xf>
    <xf numFmtId="3" fontId="36" fillId="0" borderId="0" xfId="0" applyNumberFormat="1" applyFont="1" applyAlignment="1">
      <alignment horizontal="center"/>
    </xf>
    <xf numFmtId="0" fontId="36" fillId="0" borderId="0" xfId="0" applyFont="1" applyBorder="1"/>
    <xf numFmtId="3" fontId="36" fillId="0" borderId="0" xfId="0" applyNumberFormat="1" applyFont="1" applyBorder="1" applyAlignment="1">
      <alignment horizontal="center"/>
    </xf>
    <xf numFmtId="0" fontId="36" fillId="0" borderId="0" xfId="0" applyFont="1" applyFill="1" applyBorder="1"/>
    <xf numFmtId="4" fontId="0" fillId="0" borderId="0" xfId="0" applyNumberFormat="1"/>
    <xf numFmtId="0" fontId="47" fillId="0" borderId="0" xfId="0" applyFont="1" applyAlignment="1">
      <alignment horizontal="left" vertical="center" indent="1"/>
    </xf>
    <xf numFmtId="0" fontId="48" fillId="5" borderId="17" xfId="0" applyFont="1" applyFill="1" applyBorder="1" applyAlignment="1">
      <alignment horizontal="left" vertical="center" wrapText="1"/>
    </xf>
    <xf numFmtId="0" fontId="48" fillId="5" borderId="17" xfId="0" applyFont="1" applyFill="1" applyBorder="1" applyAlignment="1">
      <alignment horizontal="center" vertical="center" wrapText="1"/>
    </xf>
    <xf numFmtId="0" fontId="49" fillId="6" borderId="18" xfId="0" applyFont="1" applyFill="1" applyBorder="1" applyAlignment="1">
      <alignment horizontal="left" vertical="center" wrapText="1"/>
    </xf>
    <xf numFmtId="0" fontId="49" fillId="6" borderId="18" xfId="0" applyFont="1" applyFill="1" applyBorder="1" applyAlignment="1">
      <alignment horizontal="center" vertical="center" wrapText="1"/>
    </xf>
    <xf numFmtId="0" fontId="49" fillId="7" borderId="19" xfId="0" applyFont="1" applyFill="1" applyBorder="1" applyAlignment="1">
      <alignment horizontal="left" vertical="center" wrapText="1"/>
    </xf>
    <xf numFmtId="0" fontId="49" fillId="7" borderId="19" xfId="0" applyFont="1" applyFill="1" applyBorder="1" applyAlignment="1">
      <alignment horizontal="center" vertical="center" wrapText="1"/>
    </xf>
    <xf numFmtId="0" fontId="49" fillId="6" borderId="19" xfId="0" applyFont="1" applyFill="1" applyBorder="1" applyAlignment="1">
      <alignment horizontal="left" vertical="center" wrapText="1"/>
    </xf>
    <xf numFmtId="0" fontId="49" fillId="6" borderId="19" xfId="0" applyFont="1" applyFill="1" applyBorder="1" applyAlignment="1">
      <alignment horizontal="center" vertical="center" wrapText="1"/>
    </xf>
    <xf numFmtId="0" fontId="49" fillId="7" borderId="20" xfId="0" applyFont="1" applyFill="1" applyBorder="1" applyAlignment="1">
      <alignment horizontal="center" vertical="center" wrapText="1"/>
    </xf>
    <xf numFmtId="3" fontId="50" fillId="7" borderId="19" xfId="0" applyNumberFormat="1" applyFont="1" applyFill="1" applyBorder="1" applyAlignment="1">
      <alignment horizontal="center" vertical="center" wrapText="1"/>
    </xf>
    <xf numFmtId="3" fontId="17" fillId="0" borderId="9" xfId="0" applyNumberFormat="1" applyFont="1" applyBorder="1" applyAlignment="1">
      <alignment horizontal="center"/>
    </xf>
    <xf numFmtId="9" fontId="17" fillId="0" borderId="0" xfId="0" applyNumberFormat="1" applyFont="1" applyBorder="1" applyAlignment="1">
      <alignment horizontal="center"/>
    </xf>
    <xf numFmtId="0" fontId="0" fillId="0" borderId="0" xfId="0" applyAlignment="1">
      <alignment horizontal="center" wrapText="1"/>
    </xf>
    <xf numFmtId="3" fontId="0" fillId="0" borderId="0" xfId="0" applyNumberFormat="1" applyAlignment="1">
      <alignment horizontal="center" wrapText="1"/>
    </xf>
    <xf numFmtId="3" fontId="17" fillId="0" borderId="6" xfId="0" applyNumberFormat="1" applyFont="1" applyBorder="1" applyAlignment="1">
      <alignment horizontal="center"/>
    </xf>
    <xf numFmtId="0" fontId="18" fillId="0" borderId="8" xfId="0" applyFont="1" applyBorder="1"/>
    <xf numFmtId="0" fontId="49" fillId="7" borderId="20" xfId="0" applyFont="1" applyFill="1" applyBorder="1" applyAlignment="1">
      <alignment horizontal="left" vertical="center" wrapText="1"/>
    </xf>
    <xf numFmtId="0" fontId="43" fillId="0" borderId="0" xfId="0" applyFont="1" applyAlignment="1">
      <alignment horizontal="center"/>
    </xf>
    <xf numFmtId="0" fontId="36" fillId="0" borderId="0" xfId="0" applyFont="1" applyAlignment="1">
      <alignment vertical="top"/>
    </xf>
    <xf numFmtId="3" fontId="0" fillId="0" borderId="0" xfId="0" applyNumberFormat="1" applyAlignment="1">
      <alignment horizontal="center" vertical="top"/>
    </xf>
    <xf numFmtId="9" fontId="0" fillId="0" borderId="0" xfId="41" applyFont="1" applyAlignment="1">
      <alignment horizontal="center" vertical="top"/>
    </xf>
    <xf numFmtId="168" fontId="0" fillId="0" borderId="0" xfId="0" applyNumberFormat="1" applyAlignment="1">
      <alignment horizontal="center" vertical="top"/>
    </xf>
    <xf numFmtId="16" fontId="0" fillId="0" borderId="0" xfId="0" quotePrefix="1" applyNumberFormat="1" applyAlignment="1">
      <alignment horizontal="center" vertical="top"/>
    </xf>
    <xf numFmtId="3" fontId="0" fillId="0" borderId="0" xfId="0" applyNumberFormat="1" applyFont="1" applyAlignment="1">
      <alignment horizontal="center" vertical="top"/>
    </xf>
    <xf numFmtId="0" fontId="47" fillId="0" borderId="0" xfId="0" applyFont="1" applyAlignment="1">
      <alignment horizontal="left" vertical="top" indent="1"/>
    </xf>
    <xf numFmtId="0" fontId="0" fillId="0" borderId="0" xfId="0" quotePrefix="1" applyAlignment="1">
      <alignment horizontal="center" vertical="top"/>
    </xf>
    <xf numFmtId="3" fontId="17" fillId="8" borderId="6" xfId="0" applyNumberFormat="1" applyFont="1" applyFill="1" applyBorder="1" applyAlignment="1">
      <alignment horizontal="left" vertical="top" wrapText="1"/>
    </xf>
    <xf numFmtId="3" fontId="17" fillId="8" borderId="6" xfId="0" applyNumberFormat="1" applyFont="1" applyFill="1" applyBorder="1" applyAlignment="1">
      <alignment horizontal="center" vertical="top" wrapText="1"/>
    </xf>
    <xf numFmtId="0" fontId="17" fillId="8" borderId="6" xfId="0" applyFont="1" applyFill="1" applyBorder="1" applyAlignment="1">
      <alignment horizontal="center" vertical="top"/>
    </xf>
    <xf numFmtId="0" fontId="17" fillId="8" borderId="6" xfId="0" applyFont="1" applyFill="1" applyBorder="1" applyAlignment="1">
      <alignment horizontal="center" vertical="top" wrapText="1"/>
    </xf>
    <xf numFmtId="0" fontId="46" fillId="0" borderId="0" xfId="0" applyFont="1" applyAlignment="1">
      <alignment vertical="top"/>
    </xf>
    <xf numFmtId="168" fontId="17" fillId="0" borderId="0" xfId="0" applyNumberFormat="1" applyFont="1" applyAlignment="1">
      <alignment horizontal="center"/>
    </xf>
    <xf numFmtId="3" fontId="0" fillId="0" borderId="6" xfId="0" applyNumberFormat="1" applyBorder="1" applyAlignment="1">
      <alignment horizontal="center" vertical="top"/>
    </xf>
    <xf numFmtId="168" fontId="0" fillId="0" borderId="6" xfId="0" applyNumberFormat="1" applyBorder="1" applyAlignment="1">
      <alignment horizontal="center" vertical="top"/>
    </xf>
    <xf numFmtId="0" fontId="52" fillId="0" borderId="0" xfId="0" applyFont="1" applyAlignment="1">
      <alignment vertical="top"/>
    </xf>
    <xf numFmtId="0" fontId="43" fillId="0" borderId="1" xfId="0" applyFont="1" applyBorder="1"/>
    <xf numFmtId="3" fontId="43" fillId="0" borderId="1" xfId="0" applyNumberFormat="1" applyFont="1" applyBorder="1" applyAlignment="1">
      <alignment horizontal="left"/>
    </xf>
    <xf numFmtId="0" fontId="43" fillId="0" borderId="1" xfId="0" applyFont="1" applyBorder="1" applyAlignment="1">
      <alignment horizontal="center"/>
    </xf>
    <xf numFmtId="0" fontId="51" fillId="0" borderId="1" xfId="0" applyFont="1" applyBorder="1" applyAlignment="1">
      <alignment vertical="top"/>
    </xf>
    <xf numFmtId="0" fontId="43" fillId="0" borderId="1" xfId="0" applyFont="1" applyBorder="1" applyAlignment="1">
      <alignment horizontal="center" vertical="top"/>
    </xf>
    <xf numFmtId="3" fontId="43" fillId="0" borderId="1" xfId="0" applyNumberFormat="1" applyFont="1" applyBorder="1" applyAlignment="1">
      <alignment horizontal="center" vertical="top"/>
    </xf>
    <xf numFmtId="9" fontId="43" fillId="0" borderId="1" xfId="41" applyFont="1" applyBorder="1" applyAlignment="1">
      <alignment horizontal="center" vertical="top"/>
    </xf>
    <xf numFmtId="16" fontId="43" fillId="0" borderId="1" xfId="0" quotePrefix="1" applyNumberFormat="1" applyFont="1" applyBorder="1" applyAlignment="1">
      <alignment horizontal="center" vertical="top"/>
    </xf>
    <xf numFmtId="0" fontId="51" fillId="0" borderId="1" xfId="0" applyFont="1" applyBorder="1" applyAlignment="1">
      <alignment vertical="top" wrapText="1"/>
    </xf>
    <xf numFmtId="3" fontId="43" fillId="0" borderId="1" xfId="0" applyNumberFormat="1" applyFont="1" applyBorder="1" applyAlignment="1">
      <alignment horizontal="center" vertical="top" wrapText="1"/>
    </xf>
    <xf numFmtId="0" fontId="43" fillId="0" borderId="1" xfId="0" quotePrefix="1" applyFont="1" applyBorder="1" applyAlignment="1">
      <alignment horizontal="center" vertical="top"/>
    </xf>
    <xf numFmtId="3" fontId="43" fillId="0" borderId="23" xfId="0" applyNumberFormat="1" applyFont="1" applyBorder="1" applyAlignment="1">
      <alignment horizontal="center" vertical="top"/>
    </xf>
    <xf numFmtId="168" fontId="44" fillId="0" borderId="3" xfId="0" applyNumberFormat="1" applyFont="1" applyBorder="1" applyAlignment="1">
      <alignment horizontal="center"/>
    </xf>
    <xf numFmtId="3" fontId="44" fillId="0" borderId="3" xfId="0" applyNumberFormat="1" applyFont="1" applyBorder="1" applyAlignment="1">
      <alignment horizontal="center"/>
    </xf>
    <xf numFmtId="3" fontId="44" fillId="8" borderId="23" xfId="0" applyNumberFormat="1" applyFont="1" applyFill="1" applyBorder="1" applyAlignment="1">
      <alignment horizontal="left" vertical="center" wrapText="1"/>
    </xf>
    <xf numFmtId="0" fontId="44" fillId="8" borderId="23" xfId="0" applyFont="1" applyFill="1" applyBorder="1" applyAlignment="1">
      <alignment horizontal="center" vertical="center"/>
    </xf>
    <xf numFmtId="3" fontId="44" fillId="8" borderId="23" xfId="0" applyNumberFormat="1" applyFont="1" applyFill="1" applyBorder="1" applyAlignment="1">
      <alignment horizontal="center" vertical="center" wrapText="1"/>
    </xf>
    <xf numFmtId="0" fontId="44" fillId="8" borderId="23" xfId="0" applyFont="1" applyFill="1" applyBorder="1" applyAlignment="1">
      <alignment horizontal="center" vertical="center" wrapText="1"/>
    </xf>
    <xf numFmtId="168" fontId="43" fillId="0" borderId="1" xfId="0" applyNumberFormat="1" applyFont="1" applyBorder="1" applyAlignment="1">
      <alignment horizontal="center" vertical="top"/>
    </xf>
    <xf numFmtId="168" fontId="43" fillId="0" borderId="23" xfId="0" applyNumberFormat="1" applyFont="1" applyBorder="1" applyAlignment="1">
      <alignment horizontal="center" vertical="top"/>
    </xf>
    <xf numFmtId="2" fontId="0" fillId="0" borderId="0" xfId="0" applyNumberFormat="1" applyFill="1"/>
    <xf numFmtId="0" fontId="17" fillId="0" borderId="23" xfId="0" applyFont="1" applyFill="1" applyBorder="1" applyAlignment="1">
      <alignment horizontal="center" wrapText="1"/>
    </xf>
    <xf numFmtId="0" fontId="17" fillId="0" borderId="23" xfId="0" applyFont="1" applyBorder="1"/>
    <xf numFmtId="0" fontId="0" fillId="0" borderId="1" xfId="0" applyBorder="1" applyAlignment="1">
      <alignment horizontal="center"/>
    </xf>
    <xf numFmtId="0" fontId="0" fillId="0" borderId="1" xfId="0" applyBorder="1"/>
    <xf numFmtId="169" fontId="0" fillId="0" borderId="1" xfId="0" applyNumberFormat="1" applyBorder="1"/>
    <xf numFmtId="3" fontId="0" fillId="0" borderId="1" xfId="0" applyNumberFormat="1" applyBorder="1" applyAlignment="1">
      <alignment horizontal="center"/>
    </xf>
    <xf numFmtId="1" fontId="0" fillId="0" borderId="23" xfId="0" applyNumberFormat="1" applyBorder="1" applyAlignment="1">
      <alignment horizontal="center"/>
    </xf>
    <xf numFmtId="169" fontId="0" fillId="0" borderId="23" xfId="0" applyNumberFormat="1" applyBorder="1"/>
    <xf numFmtId="3" fontId="17" fillId="0" borderId="1" xfId="0" applyNumberFormat="1" applyFont="1" applyBorder="1" applyAlignment="1">
      <alignment horizontal="center"/>
    </xf>
    <xf numFmtId="169" fontId="17" fillId="0" borderId="1" xfId="0" applyNumberFormat="1" applyFont="1" applyBorder="1" applyAlignment="1">
      <alignment horizontal="center"/>
    </xf>
    <xf numFmtId="0" fontId="17" fillId="0" borderId="23" xfId="0" applyFont="1" applyBorder="1" applyAlignment="1">
      <alignment horizontal="center" wrapText="1"/>
    </xf>
    <xf numFmtId="9" fontId="0" fillId="0" borderId="1" xfId="41" applyFont="1" applyBorder="1" applyAlignment="1">
      <alignment horizontal="center"/>
    </xf>
    <xf numFmtId="3" fontId="0" fillId="0" borderId="23" xfId="0" applyNumberFormat="1" applyBorder="1" applyAlignment="1">
      <alignment horizontal="center"/>
    </xf>
    <xf numFmtId="9" fontId="0" fillId="0" borderId="23" xfId="41" applyFont="1" applyBorder="1" applyAlignment="1">
      <alignment horizontal="center"/>
    </xf>
    <xf numFmtId="9" fontId="17" fillId="0" borderId="1" xfId="41" applyFont="1" applyBorder="1" applyAlignment="1">
      <alignment horizontal="center"/>
    </xf>
    <xf numFmtId="0" fontId="17" fillId="0" borderId="24" xfId="0" applyFont="1" applyFill="1" applyBorder="1" applyAlignment="1">
      <alignment horizontal="center" wrapText="1"/>
    </xf>
    <xf numFmtId="0" fontId="0" fillId="0" borderId="25" xfId="0" applyBorder="1" applyAlignment="1">
      <alignment horizontal="center"/>
    </xf>
    <xf numFmtId="0" fontId="0" fillId="0" borderId="25" xfId="0" applyBorder="1"/>
    <xf numFmtId="0" fontId="17" fillId="0" borderId="26" xfId="0" applyFont="1" applyFill="1" applyBorder="1" applyAlignment="1">
      <alignment horizontal="center" wrapText="1"/>
    </xf>
    <xf numFmtId="169" fontId="0" fillId="0" borderId="27" xfId="0" applyNumberFormat="1" applyBorder="1"/>
    <xf numFmtId="169" fontId="0" fillId="0" borderId="26" xfId="0" applyNumberFormat="1" applyBorder="1"/>
    <xf numFmtId="169" fontId="17" fillId="0" borderId="27" xfId="0" applyNumberFormat="1" applyFont="1" applyBorder="1" applyAlignment="1">
      <alignment horizontal="center"/>
    </xf>
    <xf numFmtId="0" fontId="17" fillId="0" borderId="28" xfId="0" applyFont="1" applyFill="1" applyBorder="1" applyAlignment="1">
      <alignment horizontal="center" wrapText="1"/>
    </xf>
    <xf numFmtId="0" fontId="17" fillId="0" borderId="29" xfId="0" applyFont="1" applyFill="1" applyBorder="1" applyAlignment="1">
      <alignment horizontal="center" wrapText="1"/>
    </xf>
    <xf numFmtId="169" fontId="0" fillId="0" borderId="30" xfId="0" applyNumberFormat="1" applyBorder="1"/>
    <xf numFmtId="169" fontId="0" fillId="0" borderId="31" xfId="0" applyNumberFormat="1" applyBorder="1"/>
    <xf numFmtId="169" fontId="0" fillId="0" borderId="28" xfId="0" applyNumberFormat="1" applyBorder="1"/>
    <xf numFmtId="169" fontId="0" fillId="0" borderId="29" xfId="0" applyNumberFormat="1" applyBorder="1"/>
    <xf numFmtId="169" fontId="17" fillId="0" borderId="30" xfId="0" applyNumberFormat="1" applyFont="1" applyBorder="1" applyAlignment="1">
      <alignment horizontal="center"/>
    </xf>
    <xf numFmtId="169" fontId="17" fillId="0" borderId="31" xfId="0" applyNumberFormat="1" applyFont="1" applyBorder="1" applyAlignment="1">
      <alignment horizontal="center"/>
    </xf>
    <xf numFmtId="0" fontId="17" fillId="0" borderId="22" xfId="0" applyFont="1" applyFill="1" applyBorder="1" applyAlignment="1">
      <alignment horizontal="center" wrapText="1"/>
    </xf>
    <xf numFmtId="169" fontId="0" fillId="0" borderId="21" xfId="0" applyNumberFormat="1" applyBorder="1"/>
    <xf numFmtId="169" fontId="0" fillId="0" borderId="22" xfId="0" applyNumberFormat="1" applyBorder="1"/>
    <xf numFmtId="169" fontId="17" fillId="0" borderId="21" xfId="0" applyNumberFormat="1" applyFont="1" applyBorder="1" applyAlignment="1">
      <alignment horizontal="center"/>
    </xf>
    <xf numFmtId="170" fontId="0" fillId="0" borderId="0" xfId="0" applyNumberFormat="1"/>
    <xf numFmtId="164" fontId="0" fillId="0" borderId="1" xfId="0" applyNumberFormat="1" applyBorder="1" applyAlignment="1">
      <alignment horizontal="center"/>
    </xf>
    <xf numFmtId="0" fontId="17" fillId="9" borderId="4" xfId="0" applyFont="1" applyFill="1" applyBorder="1" applyAlignment="1">
      <alignment horizontal="center" vertical="top" wrapText="1"/>
    </xf>
    <xf numFmtId="0" fontId="53" fillId="0" borderId="0" xfId="761" applyAlignment="1">
      <alignment vertical="top"/>
    </xf>
    <xf numFmtId="0" fontId="53" fillId="0" borderId="0" xfId="761" applyAlignment="1">
      <alignment vertical="top" wrapText="1"/>
    </xf>
    <xf numFmtId="0" fontId="53" fillId="0" borderId="0" xfId="761" applyAlignment="1">
      <alignment horizontal="center" vertical="top" wrapText="1"/>
    </xf>
    <xf numFmtId="0" fontId="54" fillId="0" borderId="0" xfId="761" applyFont="1" applyAlignment="1">
      <alignment vertical="top" wrapText="1"/>
    </xf>
    <xf numFmtId="164" fontId="53" fillId="0" borderId="0" xfId="761" applyNumberFormat="1" applyAlignment="1">
      <alignment horizontal="center" vertical="top" wrapText="1"/>
    </xf>
    <xf numFmtId="3" fontId="53" fillId="0" borderId="0" xfId="761" applyNumberFormat="1" applyAlignment="1">
      <alignment horizontal="center" vertical="top" wrapText="1"/>
    </xf>
    <xf numFmtId="16" fontId="53" fillId="0" borderId="0" xfId="761" quotePrefix="1" applyNumberFormat="1" applyAlignment="1">
      <alignment horizontal="center" vertical="top" wrapText="1"/>
    </xf>
    <xf numFmtId="14" fontId="53" fillId="0" borderId="0" xfId="761" applyNumberFormat="1" applyAlignment="1">
      <alignment horizontal="center" vertical="top" wrapText="1"/>
    </xf>
    <xf numFmtId="0" fontId="55" fillId="0" borderId="0" xfId="762" applyAlignment="1">
      <alignment horizontal="center" vertical="top" wrapText="1"/>
    </xf>
    <xf numFmtId="0" fontId="54" fillId="0" borderId="0" xfId="761" applyFont="1" applyAlignment="1">
      <alignment horizontal="left" vertical="top" wrapText="1"/>
    </xf>
    <xf numFmtId="0" fontId="56" fillId="0" borderId="0" xfId="761" applyFont="1" applyAlignment="1">
      <alignment horizontal="center" vertical="top" wrapText="1"/>
    </xf>
    <xf numFmtId="0" fontId="47" fillId="0" borderId="0" xfId="0" applyFont="1"/>
    <xf numFmtId="0" fontId="0" fillId="0" borderId="0" xfId="0" applyFill="1" applyAlignment="1">
      <alignment horizontal="center" wrapText="1"/>
    </xf>
    <xf numFmtId="0" fontId="0" fillId="0" borderId="0" xfId="0" applyAlignment="1">
      <alignment horizontal="center" vertical="top" wrapText="1"/>
    </xf>
    <xf numFmtId="0" fontId="17" fillId="0" borderId="0" xfId="0" applyFont="1" applyAlignment="1">
      <alignment horizontal="center" wrapText="1"/>
    </xf>
    <xf numFmtId="14" fontId="0" fillId="0" borderId="0" xfId="0" applyNumberFormat="1" applyAlignment="1">
      <alignment horizontal="center"/>
    </xf>
    <xf numFmtId="14" fontId="17" fillId="9" borderId="4" xfId="0" applyNumberFormat="1" applyFont="1" applyFill="1" applyBorder="1" applyAlignment="1">
      <alignment horizontal="center" vertical="top" wrapText="1"/>
    </xf>
    <xf numFmtId="14" fontId="0" fillId="0" borderId="0" xfId="0" applyNumberFormat="1" applyFill="1" applyAlignment="1">
      <alignment horizontal="center"/>
    </xf>
    <xf numFmtId="14" fontId="0" fillId="0" borderId="0" xfId="0" applyNumberFormat="1" applyAlignment="1">
      <alignment horizontal="center" vertical="top"/>
    </xf>
    <xf numFmtId="14" fontId="17" fillId="0" borderId="0" xfId="0" applyNumberFormat="1" applyFont="1" applyAlignment="1">
      <alignment horizontal="center"/>
    </xf>
    <xf numFmtId="14" fontId="0" fillId="0" borderId="6" xfId="0" applyNumberFormat="1" applyBorder="1" applyAlignment="1">
      <alignment horizontal="center" wrapText="1"/>
    </xf>
    <xf numFmtId="3" fontId="17" fillId="9" borderId="4" xfId="0" applyNumberFormat="1" applyFont="1" applyFill="1" applyBorder="1" applyAlignment="1">
      <alignment horizontal="center" vertical="top" wrapText="1"/>
    </xf>
    <xf numFmtId="3" fontId="0" fillId="0" borderId="0" xfId="0" applyNumberFormat="1" applyFill="1" applyAlignment="1">
      <alignment horizontal="center"/>
    </xf>
    <xf numFmtId="170" fontId="0" fillId="0" borderId="0" xfId="0" applyNumberFormat="1" applyAlignment="1">
      <alignment horizontal="center"/>
    </xf>
    <xf numFmtId="170" fontId="17" fillId="9" borderId="4" xfId="0" applyNumberFormat="1" applyFont="1" applyFill="1" applyBorder="1" applyAlignment="1">
      <alignment horizontal="center" vertical="top" wrapText="1"/>
    </xf>
    <xf numFmtId="170" fontId="0" fillId="0" borderId="0" xfId="0" applyNumberFormat="1" applyFill="1" applyAlignment="1">
      <alignment horizontal="center"/>
    </xf>
    <xf numFmtId="170" fontId="0" fillId="0" borderId="0" xfId="0" applyNumberFormat="1" applyAlignment="1">
      <alignment horizontal="center" vertical="top"/>
    </xf>
    <xf numFmtId="170" fontId="17" fillId="0" borderId="0" xfId="0" applyNumberFormat="1" applyFont="1" applyAlignment="1">
      <alignment horizontal="center"/>
    </xf>
    <xf numFmtId="0" fontId="57" fillId="9" borderId="4" xfId="0" applyFont="1" applyFill="1" applyBorder="1" applyAlignment="1">
      <alignment horizontal="center" vertical="top" wrapText="1"/>
    </xf>
    <xf numFmtId="0" fontId="17" fillId="0" borderId="4" xfId="0" applyFont="1" applyBorder="1" applyAlignment="1">
      <alignment horizontal="center" wrapText="1"/>
    </xf>
    <xf numFmtId="0" fontId="17" fillId="0" borderId="34" xfId="0" applyFont="1" applyBorder="1" applyAlignment="1">
      <alignment horizontal="center" wrapText="1"/>
    </xf>
    <xf numFmtId="0" fontId="17" fillId="0" borderId="35" xfId="0" applyFont="1" applyBorder="1" applyAlignment="1">
      <alignment horizontal="center" wrapText="1"/>
    </xf>
    <xf numFmtId="0" fontId="17" fillId="0" borderId="4" xfId="0" applyFont="1" applyFill="1" applyBorder="1" applyAlignment="1">
      <alignment horizontal="center" wrapText="1"/>
    </xf>
    <xf numFmtId="0" fontId="0" fillId="0" borderId="11" xfId="0" applyBorder="1" applyAlignment="1">
      <alignment horizontal="center" wrapText="1"/>
    </xf>
    <xf numFmtId="0" fontId="0" fillId="0" borderId="0" xfId="0" applyBorder="1" applyAlignment="1">
      <alignment horizontal="center" wrapText="1"/>
    </xf>
    <xf numFmtId="0" fontId="17" fillId="0" borderId="21" xfId="0" applyFont="1" applyBorder="1" applyAlignment="1">
      <alignment horizontal="center" wrapText="1"/>
    </xf>
    <xf numFmtId="3" fontId="17" fillId="0" borderId="21" xfId="0" applyNumberFormat="1" applyFont="1" applyBorder="1" applyAlignment="1">
      <alignment horizontal="center"/>
    </xf>
    <xf numFmtId="3" fontId="17" fillId="0" borderId="0" xfId="0" applyNumberFormat="1" applyFont="1" applyAlignment="1">
      <alignment horizontal="center" wrapText="1"/>
    </xf>
    <xf numFmtId="0" fontId="43" fillId="0" borderId="0" xfId="0" applyFont="1"/>
    <xf numFmtId="3" fontId="43" fillId="0" borderId="0" xfId="0" applyNumberFormat="1" applyFont="1" applyAlignment="1">
      <alignment horizontal="center"/>
    </xf>
    <xf numFmtId="3" fontId="43" fillId="0" borderId="11" xfId="0" applyNumberFormat="1" applyFont="1" applyBorder="1" applyAlignment="1">
      <alignment horizontal="center" wrapText="1"/>
    </xf>
    <xf numFmtId="3" fontId="43" fillId="0" borderId="0" xfId="0" applyNumberFormat="1" applyFont="1" applyBorder="1" applyAlignment="1">
      <alignment horizontal="center" wrapText="1"/>
    </xf>
    <xf numFmtId="3" fontId="44" fillId="0" borderId="21" xfId="0" applyNumberFormat="1" applyFont="1" applyBorder="1" applyAlignment="1">
      <alignment horizontal="center" wrapText="1"/>
    </xf>
    <xf numFmtId="3" fontId="44" fillId="0" borderId="0" xfId="0" applyNumberFormat="1" applyFont="1" applyAlignment="1">
      <alignment horizontal="center"/>
    </xf>
    <xf numFmtId="0" fontId="43" fillId="0" borderId="0" xfId="0" applyFont="1" applyAlignment="1">
      <alignment horizontal="center" wrapText="1"/>
    </xf>
    <xf numFmtId="9" fontId="43" fillId="0" borderId="11" xfId="773" applyFont="1" applyBorder="1" applyAlignment="1">
      <alignment horizontal="center"/>
    </xf>
    <xf numFmtId="9" fontId="43" fillId="0" borderId="0" xfId="773" applyFont="1" applyBorder="1" applyAlignment="1">
      <alignment horizontal="center"/>
    </xf>
    <xf numFmtId="9" fontId="44" fillId="0" borderId="21" xfId="773" applyFont="1" applyBorder="1" applyAlignment="1">
      <alignment horizontal="center"/>
    </xf>
    <xf numFmtId="9" fontId="44" fillId="0" borderId="0" xfId="773" applyFont="1" applyAlignment="1">
      <alignment horizontal="center"/>
    </xf>
    <xf numFmtId="0" fontId="43" fillId="0" borderId="11" xfId="0" applyFont="1" applyBorder="1" applyAlignment="1">
      <alignment horizontal="center" wrapText="1"/>
    </xf>
    <xf numFmtId="0" fontId="43" fillId="0" borderId="0" xfId="0" applyFont="1" applyBorder="1" applyAlignment="1">
      <alignment horizontal="center" wrapText="1"/>
    </xf>
    <xf numFmtId="0" fontId="44" fillId="0" borderId="21" xfId="0" applyFont="1" applyBorder="1" applyAlignment="1">
      <alignment horizontal="center" wrapText="1"/>
    </xf>
    <xf numFmtId="0" fontId="44" fillId="0" borderId="0" xfId="0" applyFont="1" applyAlignment="1">
      <alignment horizontal="center" wrapText="1"/>
    </xf>
    <xf numFmtId="0" fontId="43" fillId="0" borderId="0" xfId="0" applyFont="1" applyAlignment="1">
      <alignment horizontal="right"/>
    </xf>
    <xf numFmtId="1" fontId="0" fillId="0" borderId="11" xfId="0" applyNumberFormat="1" applyBorder="1" applyAlignment="1">
      <alignment horizontal="center"/>
    </xf>
    <xf numFmtId="0" fontId="43" fillId="0" borderId="11" xfId="0" applyFont="1" applyBorder="1" applyAlignment="1">
      <alignment horizontal="center"/>
    </xf>
    <xf numFmtId="0" fontId="43" fillId="0" borderId="0" xfId="0" applyFont="1" applyBorder="1" applyAlignment="1">
      <alignment horizontal="center"/>
    </xf>
    <xf numFmtId="0" fontId="44" fillId="0" borderId="21" xfId="0" applyFont="1" applyBorder="1" applyAlignment="1">
      <alignment horizontal="center"/>
    </xf>
    <xf numFmtId="0" fontId="44" fillId="0" borderId="0" xfId="0" applyFont="1" applyAlignment="1">
      <alignment horizontal="center"/>
    </xf>
    <xf numFmtId="3" fontId="0" fillId="0" borderId="11" xfId="0" applyNumberFormat="1" applyBorder="1" applyAlignment="1">
      <alignment horizontal="center" wrapText="1"/>
    </xf>
    <xf numFmtId="3" fontId="0" fillId="0" borderId="0" xfId="0" applyNumberFormat="1" applyBorder="1" applyAlignment="1">
      <alignment horizontal="center" wrapText="1"/>
    </xf>
    <xf numFmtId="168" fontId="5" fillId="0" borderId="11" xfId="773" applyNumberFormat="1" applyFont="1" applyBorder="1" applyAlignment="1">
      <alignment horizontal="center"/>
    </xf>
    <xf numFmtId="1" fontId="5" fillId="0" borderId="0" xfId="773" applyNumberFormat="1" applyFont="1" applyBorder="1" applyAlignment="1">
      <alignment horizontal="center"/>
    </xf>
    <xf numFmtId="1" fontId="17" fillId="0" borderId="21" xfId="773" applyNumberFormat="1" applyFont="1" applyBorder="1" applyAlignment="1">
      <alignment horizontal="center"/>
    </xf>
    <xf numFmtId="1" fontId="5" fillId="0" borderId="11" xfId="773" applyNumberFormat="1" applyFont="1" applyBorder="1" applyAlignment="1">
      <alignment horizontal="center"/>
    </xf>
    <xf numFmtId="1" fontId="5" fillId="0" borderId="0" xfId="774" applyNumberFormat="1" applyFont="1" applyBorder="1" applyAlignment="1">
      <alignment horizontal="center"/>
    </xf>
    <xf numFmtId="9" fontId="5" fillId="0" borderId="0" xfId="773" applyFont="1" applyAlignment="1">
      <alignment horizontal="left"/>
    </xf>
    <xf numFmtId="9" fontId="0" fillId="0" borderId="0" xfId="773" applyFont="1" applyAlignment="1">
      <alignment horizontal="left"/>
    </xf>
    <xf numFmtId="9" fontId="5" fillId="0" borderId="0" xfId="773" applyFont="1" applyAlignment="1">
      <alignment horizontal="center"/>
    </xf>
    <xf numFmtId="168" fontId="17" fillId="0" borderId="21" xfId="773" applyNumberFormat="1" applyFont="1" applyBorder="1" applyAlignment="1">
      <alignment horizontal="center"/>
    </xf>
    <xf numFmtId="1" fontId="5" fillId="0" borderId="13" xfId="0" applyNumberFormat="1" applyFont="1" applyBorder="1"/>
    <xf numFmtId="1" fontId="5" fillId="0" borderId="6" xfId="0" applyNumberFormat="1" applyFont="1" applyBorder="1"/>
    <xf numFmtId="1" fontId="17" fillId="0" borderId="22" xfId="0" applyNumberFormat="1" applyFont="1" applyBorder="1"/>
    <xf numFmtId="1" fontId="5" fillId="0" borderId="0" xfId="0" applyNumberFormat="1" applyFont="1" applyBorder="1"/>
    <xf numFmtId="1" fontId="17" fillId="0" borderId="0" xfId="0" applyNumberFormat="1" applyFont="1" applyBorder="1"/>
    <xf numFmtId="167" fontId="0" fillId="0" borderId="0" xfId="0" applyNumberFormat="1" applyAlignment="1">
      <alignment horizontal="center"/>
    </xf>
    <xf numFmtId="0" fontId="0" fillId="0" borderId="0" xfId="0" applyAlignment="1">
      <alignment wrapText="1"/>
    </xf>
    <xf numFmtId="166" fontId="0" fillId="0" borderId="0" xfId="795" applyNumberFormat="1" applyFont="1" applyAlignment="1">
      <alignment vertical="top"/>
    </xf>
    <xf numFmtId="0" fontId="0" fillId="0" borderId="0" xfId="0" applyBorder="1" applyAlignment="1">
      <alignment vertical="top" wrapText="1"/>
    </xf>
    <xf numFmtId="0" fontId="0" fillId="0" borderId="0" xfId="0" applyBorder="1" applyAlignment="1">
      <alignment vertical="top"/>
    </xf>
    <xf numFmtId="9" fontId="0" fillId="0" borderId="0" xfId="795" applyFont="1" applyAlignment="1">
      <alignment vertical="top"/>
    </xf>
    <xf numFmtId="170" fontId="0" fillId="0" borderId="0" xfId="0" applyNumberFormat="1" applyAlignment="1">
      <alignment horizontal="center" wrapText="1"/>
    </xf>
    <xf numFmtId="16" fontId="0" fillId="0" borderId="0" xfId="0" applyNumberFormat="1" applyAlignment="1">
      <alignment horizontal="center"/>
    </xf>
    <xf numFmtId="0" fontId="0" fillId="0" borderId="0" xfId="0" applyFill="1" applyBorder="1"/>
    <xf numFmtId="14" fontId="0" fillId="0" borderId="0" xfId="0" applyNumberFormat="1" applyAlignment="1">
      <alignment horizontal="center" wrapText="1"/>
    </xf>
    <xf numFmtId="9" fontId="0" fillId="0" borderId="0" xfId="795" applyFont="1"/>
    <xf numFmtId="0" fontId="0" fillId="0" borderId="0" xfId="0" applyNumberFormat="1" applyAlignment="1">
      <alignment horizontal="center"/>
    </xf>
    <xf numFmtId="0" fontId="0" fillId="0" borderId="0" xfId="0" applyAlignment="1">
      <alignment horizontal="left" wrapText="1"/>
    </xf>
    <xf numFmtId="171" fontId="0" fillId="0" borderId="0" xfId="796" applyNumberFormat="1" applyFont="1" applyAlignment="1">
      <alignment horizontal="center"/>
    </xf>
    <xf numFmtId="9" fontId="4" fillId="0" borderId="0" xfId="795" applyFont="1" applyBorder="1" applyAlignment="1">
      <alignment horizontal="center"/>
    </xf>
    <xf numFmtId="9" fontId="0" fillId="0" borderId="0" xfId="795" applyFont="1" applyBorder="1"/>
    <xf numFmtId="9" fontId="0" fillId="0" borderId="0" xfId="795" applyFont="1" applyAlignment="1">
      <alignment horizontal="center"/>
    </xf>
    <xf numFmtId="0" fontId="17" fillId="10" borderId="0" xfId="0" applyFont="1" applyFill="1" applyAlignment="1">
      <alignment horizontal="center" wrapText="1"/>
    </xf>
    <xf numFmtId="0" fontId="0" fillId="0" borderId="0" xfId="0" quotePrefix="1" applyFont="1"/>
    <xf numFmtId="0" fontId="18" fillId="0" borderId="0" xfId="0" applyFont="1" applyAlignment="1">
      <alignment horizontal="justify" vertical="center" wrapText="1"/>
    </xf>
    <xf numFmtId="3" fontId="0" fillId="0" borderId="0" xfId="0" applyNumberFormat="1" applyAlignment="1">
      <alignment horizontal="center" vertical="center" wrapText="1"/>
    </xf>
    <xf numFmtId="0" fontId="11" fillId="0" borderId="0" xfId="0" applyFont="1" applyAlignment="1">
      <alignment vertical="top" wrapText="1"/>
    </xf>
    <xf numFmtId="0" fontId="14" fillId="0" borderId="0" xfId="0" applyFont="1"/>
    <xf numFmtId="0" fontId="11" fillId="0" borderId="0" xfId="0" applyFont="1"/>
    <xf numFmtId="3" fontId="11" fillId="0" borderId="0" xfId="0" applyNumberFormat="1" applyFont="1"/>
    <xf numFmtId="0" fontId="11" fillId="0" borderId="0" xfId="0" applyFont="1" applyAlignment="1">
      <alignment vertical="center"/>
    </xf>
    <xf numFmtId="3" fontId="11" fillId="0" borderId="0" xfId="184" applyNumberFormat="1" applyFont="1"/>
    <xf numFmtId="9" fontId="11" fillId="0" borderId="0" xfId="41" applyFont="1"/>
    <xf numFmtId="3" fontId="60" fillId="0" borderId="0" xfId="0" applyNumberFormat="1" applyFont="1" applyAlignment="1">
      <alignment horizontal="right" vertical="top"/>
    </xf>
    <xf numFmtId="0" fontId="14" fillId="0" borderId="6" xfId="0" applyFont="1" applyBorder="1"/>
    <xf numFmtId="0" fontId="11" fillId="0" borderId="6" xfId="0" applyFont="1" applyBorder="1" applyAlignment="1">
      <alignment vertical="top" wrapText="1"/>
    </xf>
    <xf numFmtId="0" fontId="11" fillId="0" borderId="0" xfId="0" applyFont="1" applyBorder="1" applyAlignment="1">
      <alignment horizontal="center"/>
    </xf>
    <xf numFmtId="3" fontId="60" fillId="0" borderId="0" xfId="0" applyNumberFormat="1" applyFont="1" applyAlignment="1">
      <alignment horizontal="center" vertical="top"/>
    </xf>
    <xf numFmtId="3" fontId="11" fillId="0" borderId="0" xfId="0" applyNumberFormat="1" applyFont="1" applyAlignment="1">
      <alignment horizontal="center"/>
    </xf>
    <xf numFmtId="0" fontId="11" fillId="0" borderId="0" xfId="0" applyFont="1" applyAlignment="1">
      <alignment horizontal="center"/>
    </xf>
    <xf numFmtId="9" fontId="11" fillId="0" borderId="0" xfId="41" applyFont="1" applyAlignment="1">
      <alignment horizontal="center"/>
    </xf>
    <xf numFmtId="3" fontId="11" fillId="0" borderId="0" xfId="184" applyNumberFormat="1" applyFont="1" applyAlignment="1">
      <alignment horizontal="center"/>
    </xf>
    <xf numFmtId="1" fontId="11" fillId="0" borderId="0" xfId="0" applyNumberFormat="1" applyFont="1"/>
    <xf numFmtId="3" fontId="11" fillId="0" borderId="6" xfId="0" applyNumberFormat="1" applyFont="1" applyBorder="1"/>
    <xf numFmtId="9" fontId="11" fillId="0" borderId="6" xfId="41" applyFont="1" applyBorder="1"/>
    <xf numFmtId="3" fontId="14" fillId="0" borderId="0" xfId="0" applyNumberFormat="1" applyFont="1"/>
    <xf numFmtId="9" fontId="14" fillId="0" borderId="0" xfId="41" applyFont="1"/>
    <xf numFmtId="1" fontId="11" fillId="0" borderId="0" xfId="0" applyNumberFormat="1" applyFont="1" applyAlignment="1">
      <alignment horizontal="center" vertical="top" wrapText="1"/>
    </xf>
    <xf numFmtId="1" fontId="11" fillId="0" borderId="6" xfId="0" applyNumberFormat="1" applyFont="1" applyBorder="1" applyAlignment="1">
      <alignment horizontal="center" vertical="top" wrapText="1"/>
    </xf>
    <xf numFmtId="3" fontId="11" fillId="0" borderId="0" xfId="41" applyNumberFormat="1" applyFont="1" applyAlignment="1">
      <alignment horizontal="center"/>
    </xf>
    <xf numFmtId="0" fontId="14" fillId="0" borderId="6" xfId="0" applyFont="1" applyBorder="1" applyAlignment="1">
      <alignment horizontal="center" vertical="top" wrapText="1"/>
    </xf>
    <xf numFmtId="49" fontId="11" fillId="0" borderId="0" xfId="0" applyNumberFormat="1" applyFont="1"/>
    <xf numFmtId="0" fontId="0" fillId="0" borderId="0" xfId="0" applyAlignment="1">
      <alignment horizontal="left" vertical="top" wrapText="1"/>
    </xf>
    <xf numFmtId="0" fontId="18" fillId="0" borderId="0" xfId="0" applyFont="1" applyAlignment="1">
      <alignment horizontal="justify" vertical="top" wrapText="1"/>
    </xf>
    <xf numFmtId="0" fontId="0" fillId="0" borderId="0" xfId="0" applyAlignment="1">
      <alignment horizontal="justify" vertical="top" wrapText="1"/>
    </xf>
    <xf numFmtId="3" fontId="0" fillId="0" borderId="0" xfId="0" applyNumberFormat="1" applyAlignment="1">
      <alignment horizontal="center" vertical="top" wrapText="1"/>
    </xf>
    <xf numFmtId="3" fontId="0" fillId="0" borderId="0" xfId="0" applyNumberFormat="1" applyAlignment="1">
      <alignment horizontal="left" vertical="top"/>
    </xf>
    <xf numFmtId="0" fontId="61" fillId="0" borderId="0" xfId="0" applyFont="1"/>
    <xf numFmtId="17" fontId="61" fillId="0" borderId="0" xfId="0" applyNumberFormat="1" applyFont="1"/>
    <xf numFmtId="3" fontId="17" fillId="0" borderId="38" xfId="0" applyNumberFormat="1" applyFont="1" applyBorder="1"/>
    <xf numFmtId="0" fontId="62" fillId="0" borderId="0" xfId="0" applyFont="1" applyFill="1" applyBorder="1" applyAlignment="1">
      <alignment horizontal="left" vertical="top"/>
    </xf>
    <xf numFmtId="0" fontId="0" fillId="0" borderId="0" xfId="0" applyFont="1" applyFill="1" applyBorder="1" applyAlignment="1">
      <alignment horizontal="left" vertical="top"/>
    </xf>
    <xf numFmtId="0" fontId="62" fillId="12" borderId="36" xfId="0" applyFont="1" applyFill="1" applyBorder="1" applyAlignment="1">
      <alignment horizontal="center" vertical="top" wrapText="1"/>
    </xf>
    <xf numFmtId="0" fontId="62" fillId="12" borderId="36" xfId="0" applyFont="1" applyFill="1" applyBorder="1" applyAlignment="1">
      <alignment horizontal="right" vertical="top" wrapText="1" indent="1"/>
    </xf>
    <xf numFmtId="0" fontId="0" fillId="12" borderId="36" xfId="0" applyFont="1" applyFill="1" applyBorder="1" applyAlignment="1">
      <alignment horizontal="center" vertical="top" wrapText="1"/>
    </xf>
    <xf numFmtId="0" fontId="64" fillId="0" borderId="36" xfId="0" applyFont="1" applyFill="1" applyBorder="1" applyAlignment="1">
      <alignment horizontal="left" vertical="top" wrapText="1"/>
    </xf>
    <xf numFmtId="3" fontId="65" fillId="0" borderId="36" xfId="0" applyNumberFormat="1" applyFont="1" applyFill="1" applyBorder="1" applyAlignment="1">
      <alignment horizontal="right" vertical="top" wrapText="1"/>
    </xf>
    <xf numFmtId="0" fontId="64" fillId="0" borderId="37" xfId="0" applyFont="1" applyFill="1" applyBorder="1" applyAlignment="1">
      <alignment horizontal="left" vertical="top" wrapText="1"/>
    </xf>
    <xf numFmtId="3" fontId="65" fillId="0" borderId="37" xfId="0" applyNumberFormat="1" applyFont="1" applyFill="1" applyBorder="1" applyAlignment="1">
      <alignment horizontal="right" vertical="top" wrapText="1"/>
    </xf>
    <xf numFmtId="0" fontId="62" fillId="0" borderId="38" xfId="0" applyFont="1" applyFill="1" applyBorder="1" applyAlignment="1">
      <alignment horizontal="left" vertical="top" wrapText="1"/>
    </xf>
    <xf numFmtId="3" fontId="66" fillId="0" borderId="38" xfId="0" applyNumberFormat="1" applyFont="1" applyFill="1" applyBorder="1" applyAlignment="1">
      <alignment horizontal="right" vertical="top" wrapText="1"/>
    </xf>
    <xf numFmtId="0" fontId="67" fillId="0" borderId="36" xfId="0" applyFont="1" applyFill="1" applyBorder="1" applyAlignment="1">
      <alignment horizontal="left" vertical="top" wrapText="1"/>
    </xf>
    <xf numFmtId="3" fontId="68" fillId="0" borderId="36" xfId="0" applyNumberFormat="1" applyFont="1" applyFill="1" applyBorder="1" applyAlignment="1">
      <alignment horizontal="right" vertical="top" wrapText="1"/>
    </xf>
    <xf numFmtId="9" fontId="0" fillId="0" borderId="36" xfId="41" applyFont="1" applyBorder="1"/>
    <xf numFmtId="0" fontId="0" fillId="0" borderId="39" xfId="0" applyFont="1" applyBorder="1"/>
    <xf numFmtId="3" fontId="0" fillId="0" borderId="39" xfId="0" applyNumberFormat="1" applyFont="1" applyBorder="1"/>
    <xf numFmtId="0" fontId="64" fillId="0" borderId="39" xfId="0" applyFont="1" applyFill="1" applyBorder="1" applyAlignment="1">
      <alignment horizontal="left" vertical="top" wrapText="1"/>
    </xf>
    <xf numFmtId="3" fontId="65" fillId="0" borderId="39" xfId="0" applyNumberFormat="1" applyFont="1" applyFill="1" applyBorder="1" applyAlignment="1">
      <alignment horizontal="right" vertical="top" wrapText="1"/>
    </xf>
    <xf numFmtId="9" fontId="65" fillId="0" borderId="36" xfId="41" applyFont="1" applyFill="1" applyBorder="1" applyAlignment="1">
      <alignment horizontal="right" vertical="top" wrapText="1"/>
    </xf>
    <xf numFmtId="0" fontId="0" fillId="0" borderId="0" xfId="0" applyAlignment="1">
      <alignment wrapText="1"/>
    </xf>
    <xf numFmtId="9" fontId="17" fillId="2" borderId="4" xfId="41" applyFont="1" applyFill="1" applyBorder="1" applyAlignment="1">
      <alignment horizontal="center" vertical="top" wrapText="1"/>
    </xf>
    <xf numFmtId="9" fontId="0" fillId="0" borderId="0" xfId="41" applyFont="1" applyFill="1"/>
    <xf numFmtId="9" fontId="0" fillId="0" borderId="6" xfId="41" applyFont="1" applyBorder="1"/>
    <xf numFmtId="9" fontId="46" fillId="0" borderId="0" xfId="41" applyFont="1" applyAlignment="1">
      <alignment horizontal="center"/>
    </xf>
    <xf numFmtId="9" fontId="36" fillId="0" borderId="0" xfId="41" applyFont="1" applyAlignment="1">
      <alignment horizontal="center"/>
    </xf>
    <xf numFmtId="9" fontId="36" fillId="0" borderId="0" xfId="41" applyFont="1" applyBorder="1" applyAlignment="1">
      <alignment horizontal="center"/>
    </xf>
    <xf numFmtId="0" fontId="17" fillId="2" borderId="4" xfId="0" applyFont="1" applyFill="1" applyBorder="1" applyAlignment="1">
      <alignment horizontal="left" vertical="top" wrapText="1"/>
    </xf>
    <xf numFmtId="0" fontId="0" fillId="0" borderId="0" xfId="0" applyFont="1" applyBorder="1" applyAlignment="1">
      <alignment horizontal="center" vertical="top"/>
    </xf>
    <xf numFmtId="9" fontId="17" fillId="0" borderId="0" xfId="41" applyFont="1" applyAlignment="1">
      <alignment horizontal="center"/>
    </xf>
    <xf numFmtId="9" fontId="0" fillId="0" borderId="0" xfId="41" applyFont="1" applyFill="1" applyAlignment="1">
      <alignment horizontal="center"/>
    </xf>
    <xf numFmtId="9" fontId="18" fillId="0" borderId="0" xfId="41" applyFont="1" applyAlignment="1">
      <alignment horizontal="center" vertical="top"/>
    </xf>
    <xf numFmtId="9" fontId="0" fillId="0" borderId="0" xfId="41" applyFont="1" applyBorder="1" applyAlignment="1">
      <alignment horizontal="center" vertical="top"/>
    </xf>
    <xf numFmtId="9" fontId="0" fillId="0" borderId="0" xfId="41" applyFont="1" applyBorder="1" applyAlignment="1">
      <alignment horizontal="center"/>
    </xf>
    <xf numFmtId="9" fontId="0" fillId="0" borderId="0" xfId="41" applyFont="1" applyBorder="1" applyAlignment="1">
      <alignment horizontal="center" vertical="top" wrapText="1"/>
    </xf>
    <xf numFmtId="9" fontId="0" fillId="0" borderId="0" xfId="41" applyFont="1" applyFill="1" applyBorder="1" applyAlignment="1">
      <alignment horizontal="center"/>
    </xf>
    <xf numFmtId="9" fontId="0" fillId="0" borderId="9" xfId="41" applyFont="1" applyBorder="1" applyAlignment="1">
      <alignment horizontal="center"/>
    </xf>
    <xf numFmtId="9" fontId="17" fillId="0" borderId="0" xfId="41" applyFont="1" applyBorder="1" applyAlignment="1">
      <alignment horizontal="center"/>
    </xf>
    <xf numFmtId="9" fontId="0" fillId="0" borderId="6" xfId="41" applyFont="1" applyBorder="1" applyAlignment="1">
      <alignment horizontal="center"/>
    </xf>
    <xf numFmtId="0" fontId="18" fillId="0" borderId="0" xfId="0" applyFont="1" applyBorder="1"/>
    <xf numFmtId="3" fontId="17" fillId="0" borderId="0" xfId="0" applyNumberFormat="1" applyFont="1" applyBorder="1"/>
    <xf numFmtId="14" fontId="0" fillId="0" borderId="0" xfId="0" applyNumberFormat="1" applyBorder="1" applyAlignment="1">
      <alignment horizontal="center"/>
    </xf>
    <xf numFmtId="170" fontId="0" fillId="0" borderId="0" xfId="0" applyNumberFormat="1" applyBorder="1" applyAlignment="1">
      <alignment horizontal="center"/>
    </xf>
    <xf numFmtId="0" fontId="0" fillId="0" borderId="0" xfId="0" applyBorder="1" applyAlignment="1">
      <alignment wrapText="1"/>
    </xf>
    <xf numFmtId="3" fontId="0" fillId="0" borderId="9" xfId="0" applyNumberFormat="1" applyFont="1" applyBorder="1" applyAlignment="1">
      <alignment horizontal="center"/>
    </xf>
    <xf numFmtId="0" fontId="0" fillId="0" borderId="0" xfId="0" applyFill="1" applyAlignment="1">
      <alignment vertical="top"/>
    </xf>
    <xf numFmtId="0" fontId="69" fillId="0" borderId="0" xfId="0" applyFont="1"/>
    <xf numFmtId="0" fontId="49" fillId="6" borderId="20" xfId="0" applyFont="1" applyFill="1" applyBorder="1" applyAlignment="1">
      <alignment horizontal="left" vertical="center" wrapText="1"/>
    </xf>
    <xf numFmtId="3" fontId="0" fillId="0" borderId="6" xfId="0" applyNumberFormat="1" applyFont="1" applyBorder="1" applyAlignment="1">
      <alignment horizontal="center"/>
    </xf>
    <xf numFmtId="3" fontId="0" fillId="0" borderId="0" xfId="0" applyNumberFormat="1" applyBorder="1" applyAlignment="1">
      <alignment horizontal="left"/>
    </xf>
    <xf numFmtId="3" fontId="17" fillId="0" borderId="0" xfId="0" applyNumberFormat="1" applyFont="1" applyBorder="1" applyAlignment="1">
      <alignment horizontal="left"/>
    </xf>
    <xf numFmtId="3" fontId="70" fillId="0" borderId="0" xfId="0" applyNumberFormat="1" applyFont="1" applyAlignment="1">
      <alignment horizontal="center"/>
    </xf>
    <xf numFmtId="9" fontId="17" fillId="0" borderId="5" xfId="41" applyFont="1" applyBorder="1"/>
    <xf numFmtId="9" fontId="0" fillId="0" borderId="10" xfId="41" applyFont="1" applyBorder="1"/>
    <xf numFmtId="9" fontId="0" fillId="0" borderId="12" xfId="41" applyFont="1" applyBorder="1"/>
    <xf numFmtId="9" fontId="17" fillId="0" borderId="12" xfId="41" applyFont="1" applyBorder="1"/>
    <xf numFmtId="9" fontId="0" fillId="0" borderId="14" xfId="41" applyFont="1" applyBorder="1"/>
    <xf numFmtId="9" fontId="17" fillId="0" borderId="14" xfId="41" applyFont="1" applyBorder="1" applyAlignment="1">
      <alignment horizontal="center" wrapText="1"/>
    </xf>
    <xf numFmtId="9" fontId="0" fillId="0" borderId="12" xfId="41" applyFont="1" applyBorder="1" applyAlignment="1">
      <alignment horizontal="center"/>
    </xf>
    <xf numFmtId="9" fontId="17" fillId="0" borderId="7" xfId="41" applyFont="1" applyBorder="1"/>
    <xf numFmtId="0" fontId="0" fillId="0" borderId="21" xfId="0" applyBorder="1" applyAlignment="1">
      <alignment horizontal="center" wrapText="1"/>
    </xf>
    <xf numFmtId="9" fontId="43" fillId="0" borderId="0" xfId="41" applyFont="1" applyAlignment="1">
      <alignment horizontal="center"/>
    </xf>
    <xf numFmtId="3" fontId="0" fillId="13" borderId="0" xfId="0" applyNumberFormat="1" applyFill="1" applyAlignment="1">
      <alignment horizontal="center"/>
    </xf>
    <xf numFmtId="168" fontId="0" fillId="0" borderId="0" xfId="774" applyNumberFormat="1" applyFont="1" applyBorder="1" applyAlignment="1">
      <alignment horizontal="center"/>
    </xf>
    <xf numFmtId="168" fontId="0" fillId="0" borderId="0" xfId="773" applyNumberFormat="1" applyFont="1" applyBorder="1" applyAlignment="1">
      <alignment horizontal="center"/>
    </xf>
    <xf numFmtId="1" fontId="0" fillId="0" borderId="0" xfId="773" applyNumberFormat="1" applyFont="1" applyBorder="1" applyAlignment="1">
      <alignment horizontal="center"/>
    </xf>
    <xf numFmtId="1" fontId="0" fillId="0" borderId="0" xfId="774" applyNumberFormat="1" applyFont="1" applyBorder="1" applyAlignment="1">
      <alignment horizontal="center"/>
    </xf>
    <xf numFmtId="168" fontId="0" fillId="0" borderId="0" xfId="0" applyNumberFormat="1" applyFont="1" applyAlignment="1">
      <alignment horizontal="center"/>
    </xf>
    <xf numFmtId="9" fontId="0" fillId="0" borderId="11" xfId="773" applyFont="1" applyBorder="1" applyAlignment="1">
      <alignment horizontal="center"/>
    </xf>
    <xf numFmtId="9" fontId="0" fillId="0" borderId="0" xfId="773" applyFont="1" applyBorder="1" applyAlignment="1">
      <alignment horizontal="center"/>
    </xf>
    <xf numFmtId="9" fontId="17" fillId="0" borderId="21" xfId="773" applyFont="1" applyBorder="1" applyAlignment="1">
      <alignment horizontal="center"/>
    </xf>
    <xf numFmtId="3" fontId="0" fillId="0" borderId="11" xfId="773" applyNumberFormat="1" applyFont="1" applyBorder="1" applyAlignment="1">
      <alignment horizontal="center"/>
    </xf>
    <xf numFmtId="3" fontId="0" fillId="0" borderId="0" xfId="773" applyNumberFormat="1" applyFont="1" applyBorder="1" applyAlignment="1">
      <alignment horizontal="center"/>
    </xf>
    <xf numFmtId="3" fontId="17" fillId="0" borderId="21" xfId="773" applyNumberFormat="1" applyFont="1" applyBorder="1" applyAlignment="1">
      <alignment horizontal="center"/>
    </xf>
    <xf numFmtId="1" fontId="0" fillId="0" borderId="0" xfId="0" applyNumberFormat="1" applyAlignment="1">
      <alignment horizontal="center"/>
    </xf>
    <xf numFmtId="1" fontId="0" fillId="0" borderId="0" xfId="0" applyNumberFormat="1" applyFont="1" applyFill="1" applyBorder="1" applyAlignment="1">
      <alignment horizontal="center"/>
    </xf>
    <xf numFmtId="1" fontId="18" fillId="0" borderId="0" xfId="0" applyNumberFormat="1" applyFont="1" applyAlignment="1">
      <alignment horizontal="center" vertical="top"/>
    </xf>
    <xf numFmtId="1" fontId="0" fillId="0" borderId="0" xfId="0" applyNumberFormat="1" applyFont="1" applyBorder="1" applyAlignment="1">
      <alignment horizontal="center" vertical="top"/>
    </xf>
    <xf numFmtId="1" fontId="0" fillId="0" borderId="0" xfId="0" applyNumberFormat="1" applyFont="1" applyAlignment="1">
      <alignment horizontal="center"/>
    </xf>
    <xf numFmtId="1" fontId="0" fillId="0" borderId="0" xfId="0" applyNumberFormat="1" applyFont="1" applyBorder="1" applyAlignment="1">
      <alignment horizontal="center" vertical="top" wrapText="1"/>
    </xf>
    <xf numFmtId="1" fontId="0" fillId="0" borderId="0" xfId="0" applyNumberFormat="1" applyFont="1" applyBorder="1" applyAlignment="1">
      <alignment horizontal="center"/>
    </xf>
    <xf numFmtId="1" fontId="17" fillId="0" borderId="0" xfId="0" applyNumberFormat="1" applyFont="1" applyBorder="1" applyAlignment="1">
      <alignment horizontal="center"/>
    </xf>
    <xf numFmtId="1" fontId="17" fillId="0" borderId="0" xfId="0" applyNumberFormat="1" applyFont="1" applyAlignment="1">
      <alignment horizontal="center"/>
    </xf>
    <xf numFmtId="1" fontId="17" fillId="2" borderId="4" xfId="0" applyNumberFormat="1" applyFont="1" applyFill="1" applyBorder="1" applyAlignment="1">
      <alignment horizontal="center" vertical="top" wrapText="1"/>
    </xf>
    <xf numFmtId="1" fontId="0" fillId="0" borderId="0" xfId="0" applyNumberFormat="1" applyAlignment="1">
      <alignment horizontal="center" vertical="top"/>
    </xf>
    <xf numFmtId="1" fontId="17" fillId="0" borderId="0" xfId="0" applyNumberFormat="1" applyFont="1"/>
    <xf numFmtId="3" fontId="17" fillId="0" borderId="13" xfId="773" applyNumberFormat="1" applyFont="1" applyBorder="1" applyAlignment="1">
      <alignment horizontal="center"/>
    </xf>
    <xf numFmtId="3" fontId="17" fillId="0" borderId="6" xfId="773" applyNumberFormat="1" applyFont="1" applyBorder="1" applyAlignment="1">
      <alignment horizontal="center"/>
    </xf>
    <xf numFmtId="3" fontId="17" fillId="0" borderId="22" xfId="773" applyNumberFormat="1" applyFont="1" applyBorder="1" applyAlignment="1">
      <alignment horizontal="center"/>
    </xf>
    <xf numFmtId="1" fontId="17" fillId="0" borderId="6" xfId="773" applyNumberFormat="1" applyFont="1" applyBorder="1" applyAlignment="1">
      <alignment horizontal="center"/>
    </xf>
    <xf numFmtId="3" fontId="17" fillId="0" borderId="14" xfId="0" applyNumberFormat="1" applyFont="1" applyBorder="1" applyAlignment="1">
      <alignment horizontal="center"/>
    </xf>
    <xf numFmtId="0" fontId="71" fillId="0" borderId="0" xfId="0" applyFont="1"/>
    <xf numFmtId="9" fontId="2" fillId="0" borderId="0" xfId="773" applyFont="1" applyAlignment="1">
      <alignment horizontal="left"/>
    </xf>
    <xf numFmtId="9" fontId="2" fillId="0" borderId="0" xfId="773" applyFont="1" applyAlignment="1">
      <alignment horizontal="center"/>
    </xf>
    <xf numFmtId="0" fontId="0" fillId="0" borderId="0" xfId="0" applyFont="1" applyAlignment="1">
      <alignment vertical="top"/>
    </xf>
    <xf numFmtId="0" fontId="0" fillId="0" borderId="0" xfId="0" pivotButton="1"/>
    <xf numFmtId="0" fontId="0" fillId="0" borderId="0" xfId="0" applyAlignment="1">
      <alignment horizontal="left" indent="1"/>
    </xf>
    <xf numFmtId="9" fontId="0" fillId="0" borderId="11" xfId="773" applyFont="1" applyBorder="1" applyAlignment="1"/>
    <xf numFmtId="9" fontId="3" fillId="0" borderId="0" xfId="773" applyFont="1" applyAlignment="1"/>
    <xf numFmtId="3" fontId="1" fillId="0" borderId="40" xfId="0" applyNumberFormat="1" applyFont="1" applyBorder="1" applyAlignment="1">
      <alignment vertical="center" wrapText="1"/>
    </xf>
    <xf numFmtId="3" fontId="1" fillId="0" borderId="41" xfId="0" applyNumberFormat="1" applyFont="1" applyBorder="1" applyAlignment="1">
      <alignment vertical="center" wrapText="1"/>
    </xf>
    <xf numFmtId="3" fontId="0" fillId="0" borderId="42" xfId="0" applyNumberFormat="1" applyFont="1" applyFill="1" applyBorder="1" applyAlignment="1">
      <alignment vertical="center" wrapText="1"/>
    </xf>
    <xf numFmtId="14" fontId="0" fillId="0" borderId="0" xfId="0" applyNumberFormat="1"/>
    <xf numFmtId="0" fontId="64" fillId="0" borderId="43" xfId="0" applyFont="1" applyFill="1" applyBorder="1" applyAlignment="1">
      <alignment horizontal="left" vertical="top" wrapText="1"/>
    </xf>
    <xf numFmtId="3" fontId="65" fillId="0" borderId="43" xfId="0" applyNumberFormat="1" applyFont="1" applyFill="1" applyBorder="1" applyAlignment="1">
      <alignment horizontal="right" vertical="top" wrapText="1"/>
    </xf>
    <xf numFmtId="3" fontId="65" fillId="0" borderId="36" xfId="41" applyNumberFormat="1" applyFont="1" applyFill="1" applyBorder="1" applyAlignment="1">
      <alignment horizontal="right" vertical="top" wrapText="1"/>
    </xf>
    <xf numFmtId="167" fontId="66" fillId="0" borderId="36" xfId="0" applyNumberFormat="1" applyFont="1" applyFill="1" applyBorder="1" applyAlignment="1">
      <alignment horizontal="right" vertical="top" wrapText="1"/>
    </xf>
    <xf numFmtId="0" fontId="72" fillId="0" borderId="0" xfId="0" applyFont="1" applyAlignment="1">
      <alignment horizontal="justify" vertical="center"/>
    </xf>
    <xf numFmtId="0" fontId="73" fillId="0" borderId="4" xfId="0" applyFont="1" applyBorder="1" applyAlignment="1">
      <alignment horizontal="justify" vertical="center" wrapText="1"/>
    </xf>
    <xf numFmtId="0" fontId="72" fillId="0" borderId="4" xfId="0" applyFont="1" applyBorder="1" applyAlignment="1">
      <alignment horizontal="justify" vertical="center" wrapText="1"/>
    </xf>
    <xf numFmtId="3" fontId="72" fillId="0" borderId="0" xfId="0" applyNumberFormat="1" applyFont="1" applyAlignment="1">
      <alignment horizontal="justify" vertical="center"/>
    </xf>
    <xf numFmtId="9" fontId="72" fillId="0" borderId="0" xfId="0" applyNumberFormat="1" applyFont="1" applyAlignment="1">
      <alignment horizontal="justify" vertical="center"/>
    </xf>
    <xf numFmtId="3" fontId="72" fillId="0" borderId="4" xfId="0" applyNumberFormat="1" applyFont="1" applyBorder="1" applyAlignment="1">
      <alignment horizontal="justify" vertical="center"/>
    </xf>
    <xf numFmtId="9" fontId="72" fillId="0" borderId="4" xfId="0" applyNumberFormat="1" applyFont="1" applyBorder="1" applyAlignment="1">
      <alignment horizontal="justify" vertical="center"/>
    </xf>
    <xf numFmtId="0" fontId="73" fillId="0" borderId="0" xfId="0" applyFont="1" applyAlignment="1">
      <alignment horizontal="justify" vertical="center"/>
    </xf>
    <xf numFmtId="3" fontId="73" fillId="0" borderId="0" xfId="0" applyNumberFormat="1" applyFont="1" applyAlignment="1">
      <alignment horizontal="justify" vertical="center"/>
    </xf>
    <xf numFmtId="9" fontId="73" fillId="0" borderId="0" xfId="0" applyNumberFormat="1" applyFont="1" applyAlignment="1">
      <alignment horizontal="justify" vertical="center"/>
    </xf>
    <xf numFmtId="3" fontId="73" fillId="0" borderId="4" xfId="0" applyNumberFormat="1" applyFont="1" applyBorder="1" applyAlignment="1">
      <alignment horizontal="justify" vertical="center"/>
    </xf>
    <xf numFmtId="9" fontId="73" fillId="0" borderId="4" xfId="0" applyNumberFormat="1" applyFont="1" applyBorder="1" applyAlignment="1">
      <alignment horizontal="justify" vertical="center"/>
    </xf>
    <xf numFmtId="0" fontId="17" fillId="0" borderId="32" xfId="0" applyFont="1" applyBorder="1" applyAlignment="1">
      <alignment horizontal="center" wrapText="1"/>
    </xf>
    <xf numFmtId="0" fontId="17" fillId="0" borderId="5" xfId="0" applyFont="1" applyBorder="1" applyAlignment="1">
      <alignment horizontal="center" wrapText="1"/>
    </xf>
    <xf numFmtId="0" fontId="17" fillId="0" borderId="33" xfId="0" applyFont="1" applyBorder="1" applyAlignment="1">
      <alignment horizontal="center" wrapText="1"/>
    </xf>
    <xf numFmtId="9" fontId="0" fillId="0" borderId="11" xfId="773" applyFont="1" applyBorder="1" applyAlignment="1">
      <alignment horizontal="left" vertical="top" wrapText="1"/>
    </xf>
    <xf numFmtId="9" fontId="0" fillId="0" borderId="0" xfId="773" applyFont="1" applyBorder="1" applyAlignment="1">
      <alignment horizontal="left" vertical="top" wrapText="1"/>
    </xf>
    <xf numFmtId="0" fontId="0" fillId="0" borderId="11" xfId="0" applyBorder="1" applyAlignment="1">
      <alignment horizontal="left" vertical="top" wrapText="1"/>
    </xf>
    <xf numFmtId="0" fontId="0" fillId="0" borderId="0" xfId="0" applyBorder="1" applyAlignment="1">
      <alignment horizontal="left" vertical="top" wrapText="1"/>
    </xf>
    <xf numFmtId="3" fontId="0" fillId="0" borderId="11" xfId="0" applyNumberFormat="1" applyBorder="1" applyAlignment="1">
      <alignment horizontal="left" vertical="top" wrapText="1"/>
    </xf>
    <xf numFmtId="3" fontId="0" fillId="0" borderId="0" xfId="0" applyNumberFormat="1" applyBorder="1" applyAlignment="1">
      <alignment horizontal="left" vertical="top" wrapText="1"/>
    </xf>
    <xf numFmtId="9" fontId="0" fillId="0" borderId="11" xfId="773" applyFont="1" applyBorder="1" applyAlignment="1">
      <alignment horizontal="left" wrapText="1"/>
    </xf>
    <xf numFmtId="9" fontId="3" fillId="0" borderId="0" xfId="773" applyFont="1" applyAlignment="1">
      <alignment horizontal="left" wrapText="1"/>
    </xf>
    <xf numFmtId="9" fontId="3" fillId="0" borderId="11" xfId="773" applyFont="1" applyBorder="1" applyAlignment="1">
      <alignment horizontal="left" wrapText="1"/>
    </xf>
    <xf numFmtId="0" fontId="0" fillId="0" borderId="0" xfId="0" applyAlignment="1">
      <alignment horizontal="left" vertical="top" wrapText="1"/>
    </xf>
    <xf numFmtId="0" fontId="11" fillId="0" borderId="0" xfId="0" applyFont="1" applyAlignment="1">
      <alignment vertical="top" wrapText="1"/>
    </xf>
    <xf numFmtId="0" fontId="62" fillId="11" borderId="0" xfId="0" applyFont="1" applyFill="1" applyBorder="1" applyAlignment="1">
      <alignment horizontal="left" vertical="top" wrapText="1"/>
    </xf>
    <xf numFmtId="0" fontId="39" fillId="0" borderId="0" xfId="629" applyFont="1" applyAlignment="1">
      <alignment horizontal="center" vertical="top" wrapText="1"/>
    </xf>
    <xf numFmtId="0" fontId="8" fillId="0" borderId="0" xfId="630" applyAlignment="1">
      <alignment wrapText="1"/>
    </xf>
    <xf numFmtId="0" fontId="0" fillId="0" borderId="0" xfId="0" applyAlignment="1">
      <alignment wrapText="1"/>
    </xf>
    <xf numFmtId="0" fontId="40" fillId="0" borderId="0" xfId="629" applyFont="1" applyAlignment="1">
      <alignment horizontal="left" vertical="center" wrapText="1"/>
    </xf>
    <xf numFmtId="0" fontId="28" fillId="0" borderId="0" xfId="0" applyFont="1" applyAlignment="1">
      <alignment horizontal="left" vertical="top" wrapText="1"/>
    </xf>
  </cellXfs>
  <cellStyles count="838">
    <cellStyle name="Comma" xfId="184" builtinId="3"/>
    <cellStyle name="Comma 2" xfId="774"/>
    <cellStyle name="Comma 3" xfId="79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30" builtinId="8"/>
    <cellStyle name="Hyperlink 2" xfId="762"/>
    <cellStyle name="Normal" xfId="0" builtinId="0"/>
    <cellStyle name="Normal 2" xfId="629"/>
    <cellStyle name="Normal 3" xfId="761"/>
    <cellStyle name="Percent" xfId="41" builtinId="5"/>
    <cellStyle name="Percent 2" xfId="775"/>
    <cellStyle name="Percent 3" xfId="773"/>
    <cellStyle name="Percent 4" xfId="795"/>
  </cellStyles>
  <dxfs count="5">
    <dxf>
      <numFmt numFmtId="3" formatCode="#,##0"/>
    </dxf>
    <dxf>
      <numFmt numFmtId="3" formatCode="#,##0"/>
    </dxf>
    <dxf>
      <numFmt numFmtId="3" formatCode="#,##0"/>
    </dxf>
    <dxf>
      <numFmt numFmtId="3" formatCode="#,##0"/>
    </dxf>
    <dxf>
      <numFmt numFmtId="3" formatCode="#,##0"/>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pivotCacheDefinition" Target="pivotCache/pivotCacheDefinition1.xml"/><Relationship Id="rId29" Type="http://schemas.openxmlformats.org/officeDocument/2006/relationships/theme" Target="theme/theme1.xml"/><Relationship Id="rId30" Type="http://schemas.openxmlformats.org/officeDocument/2006/relationships/styles" Target="styles.xml"/><Relationship Id="rId31" Type="http://schemas.openxmlformats.org/officeDocument/2006/relationships/sharedStrings" Target="sharedStrings.xml"/><Relationship Id="rId3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3.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'Sandra to complete'!$L$129</c:f>
              <c:strCache>
                <c:ptCount val="1"/>
                <c:pt idx="0">
                  <c:v>2011 Census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 to complete'!$M$127:$Q$128</c:f>
              <c:strCache>
                <c:ptCount val="5"/>
                <c:pt idx="0">
                  <c:v>Canary Wharf</c:v>
                </c:pt>
                <c:pt idx="2">
                  <c:v>Blackwall &amp; Cubitt Town</c:v>
                </c:pt>
                <c:pt idx="3">
                  <c:v>Island Gardens</c:v>
                </c:pt>
                <c:pt idx="4">
                  <c:v>Isle of Dogs Total</c:v>
                </c:pt>
              </c:strCache>
            </c:strRef>
          </c:cat>
          <c:val>
            <c:numRef>
              <c:f>'Sandra to complete'!$M$129:$Q$129</c:f>
              <c:numCache>
                <c:formatCode>#,##0</c:formatCode>
                <c:ptCount val="5"/>
                <c:pt idx="0">
                  <c:v>0.0</c:v>
                </c:pt>
                <c:pt idx="2">
                  <c:v>0.0</c:v>
                </c:pt>
                <c:pt idx="3">
                  <c:v>0.0</c:v>
                </c:pt>
                <c:pt idx="4" formatCode="m/d/yy">
                  <c:v>0.0</c:v>
                </c:pt>
              </c:numCache>
            </c:numRef>
          </c:val>
        </c:ser>
        <c:ser>
          <c:idx val="1"/>
          <c:order val="1"/>
          <c:tx>
            <c:strRef>
              <c:f>'Sandra to complete'!$L$130</c:f>
              <c:strCache>
                <c:ptCount val="1"/>
                <c:pt idx="0">
                  <c:v>2011-2104 estimate</c:v>
                </c:pt>
              </c:strCache>
            </c:strRef>
          </c:tx>
          <c:invertIfNegative val="0"/>
          <c:cat>
            <c:strRef>
              <c:f>'Sandra to complete'!$M$127:$Q$128</c:f>
              <c:strCache>
                <c:ptCount val="5"/>
                <c:pt idx="0">
                  <c:v>Canary Wharf</c:v>
                </c:pt>
                <c:pt idx="2">
                  <c:v>Blackwall &amp; Cubitt Town</c:v>
                </c:pt>
                <c:pt idx="3">
                  <c:v>Island Gardens</c:v>
                </c:pt>
                <c:pt idx="4">
                  <c:v>Isle of Dogs Total</c:v>
                </c:pt>
              </c:strCache>
            </c:strRef>
          </c:cat>
          <c:val>
            <c:numRef>
              <c:f>'Sandra to complete'!$M$130:$Q$130</c:f>
              <c:numCache>
                <c:formatCode>#,##0</c:formatCode>
                <c:ptCount val="5"/>
                <c:pt idx="0">
                  <c:v>0.0</c:v>
                </c:pt>
                <c:pt idx="2" formatCode="General">
                  <c:v>0.0</c:v>
                </c:pt>
                <c:pt idx="3" formatCode="General">
                  <c:v>0.0</c:v>
                </c:pt>
                <c:pt idx="4" formatCode="m/d/yy">
                  <c:v>0.0</c:v>
                </c:pt>
              </c:numCache>
            </c:numRef>
          </c:val>
        </c:ser>
        <c:ser>
          <c:idx val="2"/>
          <c:order val="2"/>
          <c:tx>
            <c:strRef>
              <c:f>'Sandra to complete'!$L$131</c:f>
              <c:strCache>
                <c:ptCount val="1"/>
                <c:pt idx="0">
                  <c:v>Approved developments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 to complete'!$M$127:$Q$128</c:f>
              <c:strCache>
                <c:ptCount val="5"/>
                <c:pt idx="0">
                  <c:v>Canary Wharf</c:v>
                </c:pt>
                <c:pt idx="2">
                  <c:v>Blackwall &amp; Cubitt Town</c:v>
                </c:pt>
                <c:pt idx="3">
                  <c:v>Island Gardens</c:v>
                </c:pt>
                <c:pt idx="4">
                  <c:v>Isle of Dogs Total</c:v>
                </c:pt>
              </c:strCache>
            </c:strRef>
          </c:cat>
          <c:val>
            <c:numRef>
              <c:f>'Sandra to complete'!$M$131:$Q$131</c:f>
              <c:numCache>
                <c:formatCode>#,##0</c:formatCode>
                <c:ptCount val="5"/>
                <c:pt idx="0">
                  <c:v>0.0</c:v>
                </c:pt>
                <c:pt idx="2">
                  <c:v>0.0</c:v>
                </c:pt>
                <c:pt idx="3">
                  <c:v>0.0</c:v>
                </c:pt>
                <c:pt idx="4" formatCode="m/d/yy">
                  <c:v>0.0</c:v>
                </c:pt>
              </c:numCache>
            </c:numRef>
          </c:val>
        </c:ser>
        <c:ser>
          <c:idx val="3"/>
          <c:order val="3"/>
          <c:tx>
            <c:strRef>
              <c:f>'Sandra to complete'!$L$132</c:f>
              <c:strCache>
                <c:ptCount val="1"/>
                <c:pt idx="0">
                  <c:v>In planning process</c:v>
                </c:pt>
              </c:strCache>
            </c:strRef>
          </c:tx>
          <c:invertIfNegative val="0"/>
          <c:dLbls>
            <c:dLbl>
              <c:idx val="2"/>
              <c:layout>
                <c:manualLayout>
                  <c:x val="0.0"/>
                  <c:y val="-0.054166666666666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 to complete'!$M$127:$Q$128</c:f>
              <c:strCache>
                <c:ptCount val="5"/>
                <c:pt idx="0">
                  <c:v>Canary Wharf</c:v>
                </c:pt>
                <c:pt idx="2">
                  <c:v>Blackwall &amp; Cubitt Town</c:v>
                </c:pt>
                <c:pt idx="3">
                  <c:v>Island Gardens</c:v>
                </c:pt>
                <c:pt idx="4">
                  <c:v>Isle of Dogs Total</c:v>
                </c:pt>
              </c:strCache>
            </c:strRef>
          </c:cat>
          <c:val>
            <c:numRef>
              <c:f>'Sandra to complete'!$M$132:$Q$132</c:f>
              <c:numCache>
                <c:formatCode>#,##0</c:formatCode>
                <c:ptCount val="5"/>
                <c:pt idx="0">
                  <c:v>0.0</c:v>
                </c:pt>
                <c:pt idx="2">
                  <c:v>0.0</c:v>
                </c:pt>
                <c:pt idx="3">
                  <c:v>0.0</c:v>
                </c:pt>
                <c:pt idx="4" formatCode="m/d/yy">
                  <c:v>0.0</c:v>
                </c:pt>
              </c:numCache>
            </c:numRef>
          </c:val>
        </c:ser>
        <c:ser>
          <c:idx val="4"/>
          <c:order val="4"/>
          <c:tx>
            <c:strRef>
              <c:f>'Sandra to complete'!$L$133</c:f>
              <c:strCache>
                <c:ptCount val="1"/>
                <c:pt idx="0">
                  <c:v>Estimated developments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 to complete'!$M$127:$Q$128</c:f>
              <c:strCache>
                <c:ptCount val="5"/>
                <c:pt idx="0">
                  <c:v>Canary Wharf</c:v>
                </c:pt>
                <c:pt idx="2">
                  <c:v>Blackwall &amp; Cubitt Town</c:v>
                </c:pt>
                <c:pt idx="3">
                  <c:v>Island Gardens</c:v>
                </c:pt>
                <c:pt idx="4">
                  <c:v>Isle of Dogs Total</c:v>
                </c:pt>
              </c:strCache>
            </c:strRef>
          </c:cat>
          <c:val>
            <c:numRef>
              <c:f>'Sandra to complete'!$M$133:$Q$133</c:f>
              <c:numCache>
                <c:formatCode>#,##0</c:formatCode>
                <c:ptCount val="5"/>
                <c:pt idx="0">
                  <c:v>0.0</c:v>
                </c:pt>
                <c:pt idx="2">
                  <c:v>0.0</c:v>
                </c:pt>
                <c:pt idx="4" formatCode="m/d/yy">
                  <c:v>0.0</c:v>
                </c:pt>
              </c:numCache>
            </c:numRef>
          </c:val>
        </c:ser>
        <c:dLbls>
          <c:showLegendKey val="0"/>
          <c:showVal val="0"/>
          <c:showCatName val="0"/>
          <c:showSerName val="0"/>
          <c:showPercent val="0"/>
          <c:showBubbleSize val="0"/>
        </c:dLbls>
        <c:gapWidth val="150"/>
        <c:overlap val="100"/>
        <c:axId val="1011258240"/>
        <c:axId val="1009786688"/>
      </c:barChart>
      <c:catAx>
        <c:axId val="1011258240"/>
        <c:scaling>
          <c:orientation val="minMax"/>
        </c:scaling>
        <c:delete val="0"/>
        <c:axPos val="b"/>
        <c:numFmt formatCode="General" sourceLinked="1"/>
        <c:majorTickMark val="out"/>
        <c:minorTickMark val="none"/>
        <c:tickLblPos val="nextTo"/>
        <c:txPr>
          <a:bodyPr/>
          <a:lstStyle/>
          <a:p>
            <a:pPr>
              <a:defRPr b="1"/>
            </a:pPr>
            <a:endParaRPr lang="en-US"/>
          </a:p>
        </c:txPr>
        <c:crossAx val="1009786688"/>
        <c:crosses val="autoZero"/>
        <c:auto val="1"/>
        <c:lblAlgn val="ctr"/>
        <c:lblOffset val="100"/>
        <c:noMultiLvlLbl val="0"/>
      </c:catAx>
      <c:valAx>
        <c:axId val="1009786688"/>
        <c:scaling>
          <c:orientation val="minMax"/>
        </c:scaling>
        <c:delete val="0"/>
        <c:axPos val="l"/>
        <c:majorGridlines>
          <c:spPr>
            <a:ln>
              <a:prstDash val="lgDash"/>
            </a:ln>
          </c:spPr>
        </c:majorGridlines>
        <c:numFmt formatCode="#,##0" sourceLinked="1"/>
        <c:majorTickMark val="out"/>
        <c:minorTickMark val="none"/>
        <c:tickLblPos val="nextTo"/>
        <c:txPr>
          <a:bodyPr/>
          <a:lstStyle/>
          <a:p>
            <a:pPr>
              <a:defRPr b="1"/>
            </a:pPr>
            <a:endParaRPr lang="en-US"/>
          </a:p>
        </c:txPr>
        <c:crossAx val="1011258240"/>
        <c:crosses val="autoZero"/>
        <c:crossBetween val="between"/>
      </c:valAx>
    </c:plotArea>
    <c:legend>
      <c:legendPos val="t"/>
      <c:overlay val="0"/>
      <c:txPr>
        <a:bodyPr/>
        <a:lstStyle/>
        <a:p>
          <a:pPr>
            <a:defRPr b="1"/>
          </a:pPr>
          <a:endParaRPr lang="en-US"/>
        </a:p>
      </c:txPr>
    </c:legend>
    <c:plotVisOnly val="1"/>
    <c:dispBlanksAs val="gap"/>
    <c:showDLblsOverMax val="0"/>
  </c:chart>
  <c:printSettings>
    <c:headerFooter/>
    <c:pageMargins b="1.0" l="0.75" r="0.75" t="1.0" header="0.5" footer="0.5"/>
    <c:pageSetup paperSize="9"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'Ward Analysis'!$AA$210</c:f>
              <c:strCache>
                <c:ptCount val="1"/>
                <c:pt idx="0">
                  <c:v>2011 Census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'Ward Analysis'!$AB$208:$AE$209</c:f>
              <c:strCache>
                <c:ptCount val="2"/>
                <c:pt idx="0">
                  <c:v>Canary Wharf</c:v>
                </c:pt>
                <c:pt idx="1">
                  <c:v>Blackwall &amp; Cubitt Town</c:v>
                </c:pt>
              </c:strCache>
            </c:strRef>
          </c:cat>
          <c:val>
            <c:numRef>
              <c:f>'Ward Analysis'!$AB$210:$AE$210</c:f>
              <c:numCache>
                <c:formatCode>#,##0</c:formatCode>
                <c:ptCount val="4"/>
                <c:pt idx="0">
                  <c:v>12500.0</c:v>
                </c:pt>
                <c:pt idx="1">
                  <c:v>13531.0</c:v>
                </c:pt>
              </c:numCache>
            </c:numRef>
          </c:val>
        </c:ser>
        <c:ser>
          <c:idx val="1"/>
          <c:order val="1"/>
          <c:tx>
            <c:strRef>
              <c:f>'Ward Analysis'!$AA$211</c:f>
              <c:strCache>
                <c:ptCount val="1"/>
                <c:pt idx="0">
                  <c:v>2011-2104 estimate</c:v>
                </c:pt>
              </c:strCache>
            </c:strRef>
          </c:tx>
          <c:invertIfNegative val="0"/>
          <c:cat>
            <c:strRef>
              <c:f>'Ward Analysis'!$AB$208:$AE$209</c:f>
              <c:strCache>
                <c:ptCount val="2"/>
                <c:pt idx="0">
                  <c:v>Canary Wharf</c:v>
                </c:pt>
                <c:pt idx="1">
                  <c:v>Blackwall &amp; Cubitt Town</c:v>
                </c:pt>
              </c:strCache>
            </c:strRef>
          </c:cat>
          <c:val>
            <c:numRef>
              <c:f>'Ward Analysis'!$AB$211:$AE$211</c:f>
              <c:numCache>
                <c:formatCode>General</c:formatCode>
                <c:ptCount val="4"/>
                <c:pt idx="0" formatCode="#,##0">
                  <c:v>712.0</c:v>
                </c:pt>
                <c:pt idx="1">
                  <c:v>0.0</c:v>
                </c:pt>
              </c:numCache>
            </c:numRef>
          </c:val>
        </c:ser>
        <c:ser>
          <c:idx val="2"/>
          <c:order val="2"/>
          <c:tx>
            <c:strRef>
              <c:f>'Ward Analysis'!$AA$212</c:f>
              <c:strCache>
                <c:ptCount val="1"/>
                <c:pt idx="0">
                  <c:v>Approved developments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'Ward Analysis'!$AB$208:$AE$209</c:f>
              <c:strCache>
                <c:ptCount val="2"/>
                <c:pt idx="0">
                  <c:v>Canary Wharf</c:v>
                </c:pt>
                <c:pt idx="1">
                  <c:v>Blackwall &amp; Cubitt Town</c:v>
                </c:pt>
              </c:strCache>
            </c:strRef>
          </c:cat>
          <c:val>
            <c:numRef>
              <c:f>'Ward Analysis'!$AB$212:$AE$212</c:f>
              <c:numCache>
                <c:formatCode>#,##0</c:formatCode>
                <c:ptCount val="4"/>
                <c:pt idx="0">
                  <c:v>32371.0</c:v>
                </c:pt>
                <c:pt idx="1">
                  <c:v>32958.0</c:v>
                </c:pt>
              </c:numCache>
            </c:numRef>
          </c:val>
        </c:ser>
        <c:ser>
          <c:idx val="3"/>
          <c:order val="3"/>
          <c:tx>
            <c:strRef>
              <c:f>'Ward Analysis'!$AA$213</c:f>
              <c:strCache>
                <c:ptCount val="1"/>
                <c:pt idx="0">
                  <c:v>In planning process</c:v>
                </c:pt>
              </c:strCache>
            </c:strRef>
          </c:tx>
          <c:invertIfNegative val="0"/>
          <c:dLbls>
            <c:dLbl>
              <c:idx val="2"/>
              <c:layout>
                <c:manualLayout>
                  <c:x val="0.0"/>
                  <c:y val="-0.054166666666666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'Ward Analysis'!$AB$208:$AE$209</c:f>
              <c:strCache>
                <c:ptCount val="2"/>
                <c:pt idx="0">
                  <c:v>Canary Wharf</c:v>
                </c:pt>
                <c:pt idx="1">
                  <c:v>Blackwall &amp; Cubitt Town</c:v>
                </c:pt>
              </c:strCache>
            </c:strRef>
          </c:cat>
          <c:val>
            <c:numRef>
              <c:f>'Ward Analysis'!$AB$213:$AE$213</c:f>
              <c:numCache>
                <c:formatCode>#,##0</c:formatCode>
                <c:ptCount val="4"/>
                <c:pt idx="0">
                  <c:v>0.0</c:v>
                </c:pt>
                <c:pt idx="1">
                  <c:v>-18490.0</c:v>
                </c:pt>
                <c:pt idx="2" formatCode="General">
                  <c:v>0.0</c:v>
                </c:pt>
                <c:pt idx="3" formatCode="General">
                  <c:v>0.0</c:v>
                </c:pt>
              </c:numCache>
            </c:numRef>
          </c:val>
        </c:ser>
        <c:ser>
          <c:idx val="4"/>
          <c:order val="4"/>
          <c:tx>
            <c:strRef>
              <c:f>'Ward Analysis'!$AA$214</c:f>
              <c:strCache>
                <c:ptCount val="1"/>
                <c:pt idx="0">
                  <c:v>Estimated developments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'Ward Analysis'!$AB$208:$AE$209</c:f>
              <c:strCache>
                <c:ptCount val="2"/>
                <c:pt idx="0">
                  <c:v>Canary Wharf</c:v>
                </c:pt>
                <c:pt idx="1">
                  <c:v>Blackwall &amp; Cubitt Town</c:v>
                </c:pt>
              </c:strCache>
            </c:strRef>
          </c:cat>
          <c:val>
            <c:numRef>
              <c:f>'Ward Analysis'!$AB$214:$AE$214</c:f>
              <c:numCache>
                <c:formatCode>#,##0</c:formatCode>
                <c:ptCount val="4"/>
                <c:pt idx="0">
                  <c:v>7600.0</c:v>
                </c:pt>
                <c:pt idx="1">
                  <c:v>47889.0</c:v>
                </c:pt>
                <c:pt idx="2" formatCode="General">
                  <c:v>0.0</c:v>
                </c:pt>
                <c:pt idx="3" formatCode="General">
                  <c:v>0.0</c:v>
                </c:pt>
              </c:numCache>
            </c:numRef>
          </c:val>
        </c:ser>
        <c:dLbls>
          <c:showLegendKey val="0"/>
          <c:showVal val="0"/>
          <c:showCatName val="0"/>
          <c:showSerName val="0"/>
          <c:showPercent val="0"/>
          <c:showBubbleSize val="0"/>
        </c:dLbls>
        <c:gapWidth val="150"/>
        <c:overlap val="100"/>
        <c:axId val="1009367232"/>
        <c:axId val="1009369280"/>
      </c:barChart>
      <c:catAx>
        <c:axId val="1009367232"/>
        <c:scaling>
          <c:orientation val="minMax"/>
        </c:scaling>
        <c:delete val="0"/>
        <c:axPos val="b"/>
        <c:numFmt formatCode="General" sourceLinked="1"/>
        <c:majorTickMark val="out"/>
        <c:minorTickMark val="none"/>
        <c:tickLblPos val="nextTo"/>
        <c:txPr>
          <a:bodyPr/>
          <a:lstStyle/>
          <a:p>
            <a:pPr>
              <a:defRPr b="1"/>
            </a:pPr>
            <a:endParaRPr lang="en-US"/>
          </a:p>
        </c:txPr>
        <c:crossAx val="1009369280"/>
        <c:crosses val="autoZero"/>
        <c:auto val="1"/>
        <c:lblAlgn val="ctr"/>
        <c:lblOffset val="100"/>
        <c:noMultiLvlLbl val="0"/>
      </c:catAx>
      <c:valAx>
        <c:axId val="1009369280"/>
        <c:scaling>
          <c:orientation val="minMax"/>
        </c:scaling>
        <c:delete val="0"/>
        <c:axPos val="l"/>
        <c:majorGridlines>
          <c:spPr>
            <a:ln>
              <a:prstDash val="lgDash"/>
            </a:ln>
          </c:spPr>
        </c:majorGridlines>
        <c:numFmt formatCode="#,##0" sourceLinked="1"/>
        <c:majorTickMark val="out"/>
        <c:minorTickMark val="none"/>
        <c:tickLblPos val="nextTo"/>
        <c:txPr>
          <a:bodyPr/>
          <a:lstStyle/>
          <a:p>
            <a:pPr>
              <a:defRPr b="1"/>
            </a:pPr>
            <a:endParaRPr lang="en-US"/>
          </a:p>
        </c:txPr>
        <c:crossAx val="1009367232"/>
        <c:crosses val="autoZero"/>
        <c:crossBetween val="between"/>
      </c:valAx>
    </c:plotArea>
    <c:legend>
      <c:legendPos val="t"/>
      <c:overlay val="0"/>
      <c:txPr>
        <a:bodyPr/>
        <a:lstStyle/>
        <a:p>
          <a:pPr>
            <a:defRPr b="1"/>
          </a:pPr>
          <a:endParaRPr lang="en-US"/>
        </a:p>
      </c:txPr>
    </c:legend>
    <c:plotVisOnly val="1"/>
    <c:dispBlanksAs val="gap"/>
    <c:showDLblsOverMax val="0"/>
  </c:chart>
  <c:printSettings>
    <c:headerFooter/>
    <c:pageMargins b="1.0" l="0.75" r="0.75" t="1.0" header="0.5" footer="0.5"/>
    <c:pageSetup paperSize="9" orientation="portrait"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'Presentation Graph'!$A$22</c:f>
              <c:strCache>
                <c:ptCount val="1"/>
                <c:pt idx="0">
                  <c:v>Canary Wharf</c:v>
                </c:pt>
              </c:strCache>
            </c:strRef>
          </c:tx>
          <c:spPr>
            <a:solidFill>
              <a:schemeClr val="accent1"/>
            </a:solidFill>
            <a:ln>
              <a:noFill/>
            </a:ln>
            <a:effectLst/>
          </c:spPr>
          <c:invertIfNegative val="0"/>
          <c:cat>
            <c:strRef>
              <c:f>'Presentation Graph'!$B$21:$F$21</c:f>
              <c:strCache>
                <c:ptCount val="5"/>
                <c:pt idx="0">
                  <c:v>Construction</c:v>
                </c:pt>
                <c:pt idx="1">
                  <c:v>Demolition</c:v>
                </c:pt>
                <c:pt idx="2">
                  <c:v>Approved</c:v>
                </c:pt>
                <c:pt idx="3">
                  <c:v>Planning application</c:v>
                </c:pt>
                <c:pt idx="4">
                  <c:v>Consultation</c:v>
                </c:pt>
              </c:strCache>
            </c:strRef>
          </c:cat>
          <c:val>
            <c:numRef>
              <c:f>'Presentation Graph'!$B$22:$F$22</c:f>
              <c:numCache>
                <c:formatCode>#,##0</c:formatCode>
                <c:ptCount val="5"/>
                <c:pt idx="0">
                  <c:v>4245.0</c:v>
                </c:pt>
                <c:pt idx="1">
                  <c:v>1583.0</c:v>
                </c:pt>
                <c:pt idx="2">
                  <c:v>2965.0</c:v>
                </c:pt>
                <c:pt idx="3">
                  <c:v>984.0</c:v>
                </c:pt>
                <c:pt idx="4">
                  <c:v>4473.0</c:v>
                </c:pt>
              </c:numCache>
            </c:numRef>
          </c:val>
        </c:ser>
        <c:ser>
          <c:idx val="1"/>
          <c:order val="1"/>
          <c:tx>
            <c:strRef>
              <c:f>'Presentation Graph'!$A$23</c:f>
              <c:strCache>
                <c:ptCount val="1"/>
                <c:pt idx="0">
                  <c:v>Blackwall &amp; Cubitt Town</c:v>
                </c:pt>
              </c:strCache>
            </c:strRef>
          </c:tx>
          <c:spPr>
            <a:solidFill>
              <a:schemeClr val="accent2"/>
            </a:solidFill>
            <a:ln>
              <a:noFill/>
            </a:ln>
            <a:effectLst/>
          </c:spPr>
          <c:invertIfNegative val="0"/>
          <c:cat>
            <c:strRef>
              <c:f>'Presentation Graph'!$B$21:$F$21</c:f>
              <c:strCache>
                <c:ptCount val="5"/>
                <c:pt idx="0">
                  <c:v>Construction</c:v>
                </c:pt>
                <c:pt idx="1">
                  <c:v>Demolition</c:v>
                </c:pt>
                <c:pt idx="2">
                  <c:v>Approved</c:v>
                </c:pt>
                <c:pt idx="3">
                  <c:v>Planning application</c:v>
                </c:pt>
                <c:pt idx="4">
                  <c:v>Consultation</c:v>
                </c:pt>
              </c:strCache>
            </c:strRef>
          </c:cat>
          <c:val>
            <c:numRef>
              <c:f>'Presentation Graph'!$B$23:$F$23</c:f>
              <c:numCache>
                <c:formatCode>#,##0</c:formatCode>
                <c:ptCount val="5"/>
                <c:pt idx="0">
                  <c:v>6656.0</c:v>
                </c:pt>
                <c:pt idx="1">
                  <c:v>338.0</c:v>
                </c:pt>
                <c:pt idx="2">
                  <c:v>1218.0</c:v>
                </c:pt>
                <c:pt idx="3">
                  <c:v>336.0</c:v>
                </c:pt>
                <c:pt idx="4">
                  <c:v>6714.0</c:v>
                </c:pt>
              </c:numCache>
            </c:numRef>
          </c:val>
        </c:ser>
        <c:ser>
          <c:idx val="2"/>
          <c:order val="2"/>
          <c:tx>
            <c:strRef>
              <c:f>'Presentation Graph'!$A$24</c:f>
              <c:strCache>
                <c:ptCount val="1"/>
                <c:pt idx="0">
                  <c:v>Island Gardens</c:v>
                </c:pt>
              </c:strCache>
            </c:strRef>
          </c:tx>
          <c:spPr>
            <a:solidFill>
              <a:schemeClr val="accent3"/>
            </a:solidFill>
            <a:ln>
              <a:noFill/>
            </a:ln>
            <a:effectLst/>
          </c:spPr>
          <c:invertIfNegative val="0"/>
          <c:cat>
            <c:strRef>
              <c:f>'Presentation Graph'!$B$21:$F$21</c:f>
              <c:strCache>
                <c:ptCount val="5"/>
                <c:pt idx="0">
                  <c:v>Construction</c:v>
                </c:pt>
                <c:pt idx="1">
                  <c:v>Demolition</c:v>
                </c:pt>
                <c:pt idx="2">
                  <c:v>Approved</c:v>
                </c:pt>
                <c:pt idx="3">
                  <c:v>Planning application</c:v>
                </c:pt>
                <c:pt idx="4">
                  <c:v>Consultation</c:v>
                </c:pt>
              </c:strCache>
            </c:strRef>
          </c:cat>
          <c:val>
            <c:numRef>
              <c:f>'Presentation Graph'!$B$24:$F$24</c:f>
              <c:numCache>
                <c:formatCode>#,##0</c:formatCode>
                <c:ptCount val="5"/>
                <c:pt idx="0">
                  <c:v>209.0</c:v>
                </c:pt>
                <c:pt idx="2">
                  <c:v>26.0</c:v>
                </c:pt>
                <c:pt idx="4">
                  <c:v>283.0</c:v>
                </c:pt>
              </c:numCache>
            </c:numRef>
          </c:val>
        </c:ser>
        <c:ser>
          <c:idx val="3"/>
          <c:order val="3"/>
          <c:tx>
            <c:strRef>
              <c:f>'Presentation Graph'!$A$25</c:f>
              <c:strCache>
                <c:ptCount val="1"/>
                <c:pt idx="0">
                  <c:v>Poplar</c:v>
                </c:pt>
              </c:strCache>
            </c:strRef>
          </c:tx>
          <c:spPr>
            <a:solidFill>
              <a:schemeClr val="accent4"/>
            </a:solidFill>
            <a:ln>
              <a:noFill/>
            </a:ln>
            <a:effectLst/>
          </c:spPr>
          <c:invertIfNegative val="0"/>
          <c:cat>
            <c:strRef>
              <c:f>'Presentation Graph'!$B$21:$F$21</c:f>
              <c:strCache>
                <c:ptCount val="5"/>
                <c:pt idx="0">
                  <c:v>Construction</c:v>
                </c:pt>
                <c:pt idx="1">
                  <c:v>Demolition</c:v>
                </c:pt>
                <c:pt idx="2">
                  <c:v>Approved</c:v>
                </c:pt>
                <c:pt idx="3">
                  <c:v>Planning application</c:v>
                </c:pt>
                <c:pt idx="4">
                  <c:v>Consultation</c:v>
                </c:pt>
              </c:strCache>
            </c:strRef>
          </c:cat>
          <c:val>
            <c:numRef>
              <c:f>'Presentation Graph'!$B$25:$F$25</c:f>
              <c:numCache>
                <c:formatCode>#,##0</c:formatCode>
                <c:ptCount val="5"/>
                <c:pt idx="0">
                  <c:v>1715.0</c:v>
                </c:pt>
                <c:pt idx="3">
                  <c:v>199.0</c:v>
                </c:pt>
              </c:numCache>
            </c:numRef>
          </c:val>
        </c:ser>
        <c:ser>
          <c:idx val="4"/>
          <c:order val="4"/>
          <c:tx>
            <c:strRef>
              <c:f>'Presentation Graph'!$A$26</c:f>
              <c:strCache>
                <c:ptCount val="1"/>
                <c:pt idx="0">
                  <c:v>Grand Total</c:v>
                </c:pt>
              </c:strCache>
            </c:strRef>
          </c:tx>
          <c:spPr>
            <a:solidFill>
              <a:schemeClr val="accent5"/>
            </a:solidFill>
            <a:ln>
              <a:noFill/>
            </a:ln>
            <a:effectLst/>
          </c:spPr>
          <c:invertIfNegative val="0"/>
          <c:cat>
            <c:strRef>
              <c:f>'Presentation Graph'!$B$21:$F$21</c:f>
              <c:strCache>
                <c:ptCount val="5"/>
                <c:pt idx="0">
                  <c:v>Construction</c:v>
                </c:pt>
                <c:pt idx="1">
                  <c:v>Demolition</c:v>
                </c:pt>
                <c:pt idx="2">
                  <c:v>Approved</c:v>
                </c:pt>
                <c:pt idx="3">
                  <c:v>Planning application</c:v>
                </c:pt>
                <c:pt idx="4">
                  <c:v>Consultation</c:v>
                </c:pt>
              </c:strCache>
            </c:strRef>
          </c:cat>
          <c:val>
            <c:numRef>
              <c:f>'Presentation Graph'!$B$26:$F$26</c:f>
              <c:numCache>
                <c:formatCode>#,##0</c:formatCode>
                <c:ptCount val="5"/>
                <c:pt idx="0">
                  <c:v>12825.0</c:v>
                </c:pt>
                <c:pt idx="1">
                  <c:v>1921.0</c:v>
                </c:pt>
                <c:pt idx="2">
                  <c:v>4209.0</c:v>
                </c:pt>
                <c:pt idx="3">
                  <c:v>1519.0</c:v>
                </c:pt>
                <c:pt idx="4">
                  <c:v>11470.0</c:v>
                </c:pt>
              </c:numCache>
            </c:numRef>
          </c:val>
        </c:ser>
        <c:dLbls>
          <c:showLegendKey val="0"/>
          <c:showVal val="0"/>
          <c:showCatName val="0"/>
          <c:showSerName val="0"/>
          <c:showPercent val="0"/>
          <c:showBubbleSize val="0"/>
        </c:dLbls>
        <c:gapWidth val="150"/>
        <c:overlap val="100"/>
        <c:axId val="1010061840"/>
        <c:axId val="1010063616"/>
      </c:barChart>
      <c:catAx>
        <c:axId val="10100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063616"/>
        <c:crosses val="autoZero"/>
        <c:auto val="1"/>
        <c:lblAlgn val="ctr"/>
        <c:lblOffset val="100"/>
        <c:noMultiLvlLbl val="0"/>
      </c:catAx>
      <c:valAx>
        <c:axId val="101006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061840"/>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'Height Graph'!$D$4</c:f>
              <c:strCache>
                <c:ptCount val="1"/>
                <c:pt idx="0">
                  <c:v>Height (meter)</c:v>
                </c:pt>
              </c:strCache>
            </c:strRef>
          </c:tx>
          <c:spPr>
            <a:solidFill>
              <a:schemeClr val="tx2">
                <a:lumMod val="60000"/>
                <a:lumOff val="40000"/>
              </a:schemeClr>
            </a:solidFill>
          </c:spPr>
          <c:invertIfNegative val="0"/>
          <c:dPt>
            <c:idx val="0"/>
            <c:invertIfNegative val="0"/>
            <c:bubble3D val="0"/>
            <c:spPr>
              <a:solidFill>
                <a:schemeClr val="accent2">
                  <a:lumMod val="75000"/>
                </a:schemeClr>
              </a:solidFill>
            </c:spPr>
          </c:dPt>
          <c:dPt>
            <c:idx val="1"/>
            <c:invertIfNegative val="0"/>
            <c:bubble3D val="0"/>
          </c:dPt>
          <c:dPt>
            <c:idx val="4"/>
            <c:invertIfNegative val="0"/>
            <c:bubble3D val="0"/>
            <c:spPr>
              <a:solidFill>
                <a:srgbClr val="953735"/>
              </a:solidFill>
            </c:spPr>
          </c:dPt>
          <c:dPt>
            <c:idx val="5"/>
            <c:invertIfNegative val="0"/>
            <c:bubble3D val="0"/>
            <c:spPr>
              <a:solidFill>
                <a:srgbClr val="953735"/>
              </a:solidFill>
            </c:spPr>
          </c:dPt>
          <c:dPt>
            <c:idx val="6"/>
            <c:invertIfNegative val="0"/>
            <c:bubble3D val="0"/>
          </c:dPt>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'Height Graph'!$B$5:$C$17</c:f>
              <c:multiLvlStrCache>
                <c:ptCount val="13"/>
                <c:lvl>
                  <c:pt idx="0">
                    <c:v>The Tower, One St George Wharf</c:v>
                  </c:pt>
                  <c:pt idx="1">
                    <c:v>Meridian Gate, Marsh Wall</c:v>
                  </c:pt>
                  <c:pt idx="2">
                    <c:v>Wardian, Marsh Wall </c:v>
                  </c:pt>
                  <c:pt idx="3">
                    <c:v>South Quay Plaza 4, Marsh Wall</c:v>
                  </c:pt>
                  <c:pt idx="4">
                    <c:v>1 Lansdowne Road, Croydon</c:v>
                  </c:pt>
                  <c:pt idx="5">
                    <c:v>City Tower, Nine Elms</c:v>
                  </c:pt>
                  <c:pt idx="6">
                    <c:v>Alpha Square, Marsh Wall</c:v>
                  </c:pt>
                  <c:pt idx="7">
                    <c:v>Wood Wharf, Canary Wharf</c:v>
                  </c:pt>
                  <c:pt idx="8">
                    <c:v>Newfoundland, Canary Wharf </c:v>
                  </c:pt>
                  <c:pt idx="9">
                    <c:v>South Quay Plaza, Marsh Wall</c:v>
                  </c:pt>
                  <c:pt idx="10">
                    <c:v>City Pride, Marsh Wall </c:v>
                  </c:pt>
                  <c:pt idx="11">
                    <c:v>Hertsmere Tower, West India Quay </c:v>
                  </c:pt>
                  <c:pt idx="12">
                    <c:v>1 Canada Square</c:v>
                  </c:pt>
                </c:lvl>
                <c:lvl>
                  <c:pt idx="0">
                    <c:v>12</c:v>
                  </c:pt>
                  <c:pt idx="1">
                    <c:v>11</c:v>
                  </c:pt>
                  <c:pt idx="2">
                    <c:v>10</c:v>
                  </c:pt>
                  <c:pt idx="3">
                    <c:v>9</c:v>
                  </c:pt>
                  <c:pt idx="4">
                    <c:v>8</c:v>
                  </c:pt>
                  <c:pt idx="5">
                    <c:v>7</c:v>
                  </c:pt>
                  <c:pt idx="6">
                    <c:v>6</c:v>
                  </c:pt>
                  <c:pt idx="7">
                    <c:v>5</c:v>
                  </c:pt>
                  <c:pt idx="8">
                    <c:v>4</c:v>
                  </c:pt>
                  <c:pt idx="9">
                    <c:v>3</c:v>
                  </c:pt>
                  <c:pt idx="10">
                    <c:v>2</c:v>
                  </c:pt>
                  <c:pt idx="11">
                    <c:v>1</c:v>
                  </c:pt>
                  <c:pt idx="12">
                    <c:v>0</c:v>
                  </c:pt>
                </c:lvl>
              </c:multiLvlStrCache>
            </c:multiLvlStrRef>
          </c:cat>
          <c:val>
            <c:numRef>
              <c:f>'Height Graph'!$D$5:$D$17</c:f>
              <c:numCache>
                <c:formatCode>#,##0</c:formatCode>
                <c:ptCount val="13"/>
                <c:pt idx="0">
                  <c:v>180.6</c:v>
                </c:pt>
                <c:pt idx="1">
                  <c:v>187.0</c:v>
                </c:pt>
                <c:pt idx="2">
                  <c:v>188.4</c:v>
                </c:pt>
                <c:pt idx="3">
                  <c:v>190.0</c:v>
                </c:pt>
                <c:pt idx="4">
                  <c:v>198.6</c:v>
                </c:pt>
                <c:pt idx="5">
                  <c:v>200.0</c:v>
                </c:pt>
                <c:pt idx="6">
                  <c:v>204.0</c:v>
                </c:pt>
                <c:pt idx="7">
                  <c:v>204.5</c:v>
                </c:pt>
                <c:pt idx="8">
                  <c:v>218.0</c:v>
                </c:pt>
                <c:pt idx="9">
                  <c:v>220.0</c:v>
                </c:pt>
                <c:pt idx="10">
                  <c:v>239.0</c:v>
                </c:pt>
                <c:pt idx="11">
                  <c:v>242.0</c:v>
                </c:pt>
                <c:pt idx="12">
                  <c:v>245.0</c:v>
                </c:pt>
              </c:numCache>
            </c:numRef>
          </c:val>
        </c:ser>
        <c:ser>
          <c:idx val="1"/>
          <c:order val="1"/>
          <c:tx>
            <c:strRef>
              <c:f>'Height Graph'!$E$4</c:f>
              <c:strCache>
                <c:ptCount val="1"/>
                <c:pt idx="0">
                  <c:v>Storeys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'Height Graph'!$B$5:$C$17</c:f>
              <c:multiLvlStrCache>
                <c:ptCount val="13"/>
                <c:lvl>
                  <c:pt idx="0">
                    <c:v>The Tower, One St George Wharf</c:v>
                  </c:pt>
                  <c:pt idx="1">
                    <c:v>Meridian Gate, Marsh Wall</c:v>
                  </c:pt>
                  <c:pt idx="2">
                    <c:v>Wardian, Marsh Wall </c:v>
                  </c:pt>
                  <c:pt idx="3">
                    <c:v>South Quay Plaza 4, Marsh Wall</c:v>
                  </c:pt>
                  <c:pt idx="4">
                    <c:v>1 Lansdowne Road, Croydon</c:v>
                  </c:pt>
                  <c:pt idx="5">
                    <c:v>City Tower, Nine Elms</c:v>
                  </c:pt>
                  <c:pt idx="6">
                    <c:v>Alpha Square, Marsh Wall</c:v>
                  </c:pt>
                  <c:pt idx="7">
                    <c:v>Wood Wharf, Canary Wharf</c:v>
                  </c:pt>
                  <c:pt idx="8">
                    <c:v>Newfoundland, Canary Wharf </c:v>
                  </c:pt>
                  <c:pt idx="9">
                    <c:v>South Quay Plaza, Marsh Wall</c:v>
                  </c:pt>
                  <c:pt idx="10">
                    <c:v>City Pride, Marsh Wall </c:v>
                  </c:pt>
                  <c:pt idx="11">
                    <c:v>Hertsmere Tower, West India Quay </c:v>
                  </c:pt>
                  <c:pt idx="12">
                    <c:v>1 Canada Square</c:v>
                  </c:pt>
                </c:lvl>
                <c:lvl>
                  <c:pt idx="0">
                    <c:v>12</c:v>
                  </c:pt>
                  <c:pt idx="1">
                    <c:v>11</c:v>
                  </c:pt>
                  <c:pt idx="2">
                    <c:v>10</c:v>
                  </c:pt>
                  <c:pt idx="3">
                    <c:v>9</c:v>
                  </c:pt>
                  <c:pt idx="4">
                    <c:v>8</c:v>
                  </c:pt>
                  <c:pt idx="5">
                    <c:v>7</c:v>
                  </c:pt>
                  <c:pt idx="6">
                    <c:v>6</c:v>
                  </c:pt>
                  <c:pt idx="7">
                    <c:v>5</c:v>
                  </c:pt>
                  <c:pt idx="8">
                    <c:v>4</c:v>
                  </c:pt>
                  <c:pt idx="9">
                    <c:v>3</c:v>
                  </c:pt>
                  <c:pt idx="10">
                    <c:v>2</c:v>
                  </c:pt>
                  <c:pt idx="11">
                    <c:v>1</c:v>
                  </c:pt>
                  <c:pt idx="12">
                    <c:v>0</c:v>
                  </c:pt>
                </c:lvl>
              </c:multiLvlStrCache>
            </c:multiLvlStrRef>
          </c:cat>
          <c:val>
            <c:numRef>
              <c:f>'Height Graph'!$E$5:$E$17</c:f>
              <c:numCache>
                <c:formatCode>General</c:formatCode>
                <c:ptCount val="13"/>
                <c:pt idx="0">
                  <c:v>52.0</c:v>
                </c:pt>
                <c:pt idx="1">
                  <c:v>53.0</c:v>
                </c:pt>
                <c:pt idx="2">
                  <c:v>55.0</c:v>
                </c:pt>
                <c:pt idx="3">
                  <c:v>55.0</c:v>
                </c:pt>
                <c:pt idx="4">
                  <c:v>51.0</c:v>
                </c:pt>
                <c:pt idx="5">
                  <c:v>58.0</c:v>
                </c:pt>
                <c:pt idx="6">
                  <c:v>60.0</c:v>
                </c:pt>
                <c:pt idx="7">
                  <c:v>50.0</c:v>
                </c:pt>
                <c:pt idx="8">
                  <c:v>58.0</c:v>
                </c:pt>
                <c:pt idx="9">
                  <c:v>68.0</c:v>
                </c:pt>
                <c:pt idx="10">
                  <c:v>75.0</c:v>
                </c:pt>
                <c:pt idx="11">
                  <c:v>67.0</c:v>
                </c:pt>
                <c:pt idx="12">
                  <c:v>50.0</c:v>
                </c:pt>
              </c:numCache>
            </c:numRef>
          </c:val>
        </c:ser>
        <c:dLbls>
          <c:showLegendKey val="0"/>
          <c:showVal val="0"/>
          <c:showCatName val="0"/>
          <c:showSerName val="0"/>
          <c:showPercent val="0"/>
          <c:showBubbleSize val="0"/>
        </c:dLbls>
        <c:gapWidth val="150"/>
        <c:axId val="1008515024"/>
        <c:axId val="1008517072"/>
      </c:barChart>
      <c:catAx>
        <c:axId val="1008515024"/>
        <c:scaling>
          <c:orientation val="minMax"/>
        </c:scaling>
        <c:delete val="0"/>
        <c:axPos val="b"/>
        <c:numFmt formatCode="General" sourceLinked="0"/>
        <c:majorTickMark val="out"/>
        <c:minorTickMark val="none"/>
        <c:tickLblPos val="nextTo"/>
        <c:txPr>
          <a:bodyPr/>
          <a:lstStyle/>
          <a:p>
            <a:pPr>
              <a:defRPr b="1"/>
            </a:pPr>
            <a:endParaRPr lang="en-US"/>
          </a:p>
        </c:txPr>
        <c:crossAx val="1008517072"/>
        <c:crosses val="autoZero"/>
        <c:auto val="1"/>
        <c:lblAlgn val="ctr"/>
        <c:lblOffset val="100"/>
        <c:noMultiLvlLbl val="0"/>
      </c:catAx>
      <c:valAx>
        <c:axId val="1008517072"/>
        <c:scaling>
          <c:orientation val="minMax"/>
        </c:scaling>
        <c:delete val="0"/>
        <c:axPos val="l"/>
        <c:majorGridlines>
          <c:spPr>
            <a:ln>
              <a:prstDash val="dash"/>
            </a:ln>
          </c:spPr>
        </c:majorGridlines>
        <c:title>
          <c:overlay val="0"/>
          <c:txPr>
            <a:bodyPr rot="-5400000" vert="horz"/>
            <a:lstStyle/>
            <a:p>
              <a:pPr>
                <a:defRPr/>
              </a:pPr>
              <a:endParaRPr lang="en-US"/>
            </a:p>
          </c:txPr>
        </c:title>
        <c:numFmt formatCode="#,##0" sourceLinked="1"/>
        <c:majorTickMark val="out"/>
        <c:minorTickMark val="none"/>
        <c:tickLblPos val="nextTo"/>
        <c:txPr>
          <a:bodyPr/>
          <a:lstStyle/>
          <a:p>
            <a:pPr>
              <a:defRPr b="1"/>
            </a:pPr>
            <a:endParaRPr lang="en-US"/>
          </a:p>
        </c:txPr>
        <c:crossAx val="1008515024"/>
        <c:crosses val="autoZero"/>
        <c:crossBetween val="between"/>
      </c:valAx>
    </c:plotArea>
    <c:legend>
      <c:legendPos val="t"/>
      <c:overlay val="0"/>
    </c:legend>
    <c:plotVisOnly val="1"/>
    <c:dispBlanksAs val="gap"/>
    <c:showDLblsOverMax val="0"/>
  </c:chart>
  <c:printSettings>
    <c:headerFooter/>
    <c:pageMargins b="1.0" l="0.75" r="0.75" t="1.0" header="0.5" footer="0.5"/>
    <c:pageSetup paperSize="9" orientation="portrait"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Sandra!$L$165</c:f>
              <c:strCache>
                <c:ptCount val="1"/>
                <c:pt idx="0">
                  <c:v>2011 Census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Sandra!$M$163:$Q$164</c:f>
              <c:strCache>
                <c:ptCount val="5"/>
                <c:pt idx="0">
                  <c:v>Canary Wharf</c:v>
                </c:pt>
                <c:pt idx="2">
                  <c:v>Blackwall &amp; Cubitt Town</c:v>
                </c:pt>
                <c:pt idx="3">
                  <c:v>Island Gardens</c:v>
                </c:pt>
                <c:pt idx="4">
                  <c:v>Isle of Dogs Total</c:v>
                </c:pt>
              </c:strCache>
            </c:strRef>
          </c:cat>
          <c:val>
            <c:numRef>
              <c:f>Sandra!$M$165:$Q$165</c:f>
              <c:numCache>
                <c:formatCode>#,##0</c:formatCode>
                <c:ptCount val="5"/>
                <c:pt idx="0">
                  <c:v>0.0</c:v>
                </c:pt>
                <c:pt idx="2">
                  <c:v>0.0</c:v>
                </c:pt>
                <c:pt idx="3">
                  <c:v>0.0</c:v>
                </c:pt>
                <c:pt idx="4" formatCode="m/d/yy">
                  <c:v>0.0</c:v>
                </c:pt>
              </c:numCache>
            </c:numRef>
          </c:val>
        </c:ser>
        <c:ser>
          <c:idx val="1"/>
          <c:order val="1"/>
          <c:tx>
            <c:strRef>
              <c:f>Sandra!$L$166</c:f>
              <c:strCache>
                <c:ptCount val="1"/>
                <c:pt idx="0">
                  <c:v>2011-2104 estimate</c:v>
                </c:pt>
              </c:strCache>
            </c:strRef>
          </c:tx>
          <c:invertIfNegative val="0"/>
          <c:cat>
            <c:strRef>
              <c:f>Sandra!$M$163:$Q$164</c:f>
              <c:strCache>
                <c:ptCount val="5"/>
                <c:pt idx="0">
                  <c:v>Canary Wharf</c:v>
                </c:pt>
                <c:pt idx="2">
                  <c:v>Blackwall &amp; Cubitt Town</c:v>
                </c:pt>
                <c:pt idx="3">
                  <c:v>Island Gardens</c:v>
                </c:pt>
                <c:pt idx="4">
                  <c:v>Isle of Dogs Total</c:v>
                </c:pt>
              </c:strCache>
            </c:strRef>
          </c:cat>
          <c:val>
            <c:numRef>
              <c:f>Sandra!$M$166:$Q$166</c:f>
              <c:numCache>
                <c:formatCode>#,##0</c:formatCode>
                <c:ptCount val="5"/>
                <c:pt idx="0">
                  <c:v>0.0</c:v>
                </c:pt>
                <c:pt idx="2" formatCode="General">
                  <c:v>0.0</c:v>
                </c:pt>
                <c:pt idx="3" formatCode="General">
                  <c:v>0.0</c:v>
                </c:pt>
                <c:pt idx="4" formatCode="m/d/yy">
                  <c:v>0.0</c:v>
                </c:pt>
              </c:numCache>
            </c:numRef>
          </c:val>
        </c:ser>
        <c:ser>
          <c:idx val="2"/>
          <c:order val="2"/>
          <c:tx>
            <c:strRef>
              <c:f>Sandra!$L$167</c:f>
              <c:strCache>
                <c:ptCount val="1"/>
                <c:pt idx="0">
                  <c:v>Approved developments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Sandra!$M$163:$Q$164</c:f>
              <c:strCache>
                <c:ptCount val="5"/>
                <c:pt idx="0">
                  <c:v>Canary Wharf</c:v>
                </c:pt>
                <c:pt idx="2">
                  <c:v>Blackwall &amp; Cubitt Town</c:v>
                </c:pt>
                <c:pt idx="3">
                  <c:v>Island Gardens</c:v>
                </c:pt>
                <c:pt idx="4">
                  <c:v>Isle of Dogs Total</c:v>
                </c:pt>
              </c:strCache>
            </c:strRef>
          </c:cat>
          <c:val>
            <c:numRef>
              <c:f>Sandra!$M$167:$Q$167</c:f>
              <c:numCache>
                <c:formatCode>#,##0</c:formatCode>
                <c:ptCount val="5"/>
                <c:pt idx="0">
                  <c:v>0.0</c:v>
                </c:pt>
                <c:pt idx="2">
                  <c:v>0.0</c:v>
                </c:pt>
                <c:pt idx="3">
                  <c:v>0.0</c:v>
                </c:pt>
                <c:pt idx="4" formatCode="m/d/yy">
                  <c:v>0.0</c:v>
                </c:pt>
              </c:numCache>
            </c:numRef>
          </c:val>
        </c:ser>
        <c:ser>
          <c:idx val="3"/>
          <c:order val="3"/>
          <c:tx>
            <c:strRef>
              <c:f>Sandra!$L$168</c:f>
              <c:strCache>
                <c:ptCount val="1"/>
                <c:pt idx="0">
                  <c:v>In planning process</c:v>
                </c:pt>
              </c:strCache>
            </c:strRef>
          </c:tx>
          <c:invertIfNegative val="0"/>
          <c:dLbls>
            <c:dLbl>
              <c:idx val="2"/>
              <c:layout>
                <c:manualLayout>
                  <c:x val="0.0"/>
                  <c:y val="-0.054166666666666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Sandra!$M$163:$Q$164</c:f>
              <c:strCache>
                <c:ptCount val="5"/>
                <c:pt idx="0">
                  <c:v>Canary Wharf</c:v>
                </c:pt>
                <c:pt idx="2">
                  <c:v>Blackwall &amp; Cubitt Town</c:v>
                </c:pt>
                <c:pt idx="3">
                  <c:v>Island Gardens</c:v>
                </c:pt>
                <c:pt idx="4">
                  <c:v>Isle of Dogs Total</c:v>
                </c:pt>
              </c:strCache>
            </c:strRef>
          </c:cat>
          <c:val>
            <c:numRef>
              <c:f>Sandra!$M$168:$Q$168</c:f>
              <c:numCache>
                <c:formatCode>#,##0</c:formatCode>
                <c:ptCount val="5"/>
                <c:pt idx="0">
                  <c:v>0.0</c:v>
                </c:pt>
                <c:pt idx="2">
                  <c:v>0.0</c:v>
                </c:pt>
                <c:pt idx="3">
                  <c:v>0.0</c:v>
                </c:pt>
                <c:pt idx="4" formatCode="m/d/yy">
                  <c:v>0.0</c:v>
                </c:pt>
              </c:numCache>
            </c:numRef>
          </c:val>
        </c:ser>
        <c:ser>
          <c:idx val="4"/>
          <c:order val="4"/>
          <c:tx>
            <c:strRef>
              <c:f>Sandra!$L$169</c:f>
              <c:strCache>
                <c:ptCount val="1"/>
                <c:pt idx="0">
                  <c:v>Estimated developments</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Sandra!$M$163:$Q$164</c:f>
              <c:strCache>
                <c:ptCount val="5"/>
                <c:pt idx="0">
                  <c:v>Canary Wharf</c:v>
                </c:pt>
                <c:pt idx="2">
                  <c:v>Blackwall &amp; Cubitt Town</c:v>
                </c:pt>
                <c:pt idx="3">
                  <c:v>Island Gardens</c:v>
                </c:pt>
                <c:pt idx="4">
                  <c:v>Isle of Dogs Total</c:v>
                </c:pt>
              </c:strCache>
            </c:strRef>
          </c:cat>
          <c:val>
            <c:numRef>
              <c:f>Sandra!$M$169:$Q$169</c:f>
              <c:numCache>
                <c:formatCode>#,##0</c:formatCode>
                <c:ptCount val="5"/>
                <c:pt idx="0">
                  <c:v>0.0</c:v>
                </c:pt>
                <c:pt idx="2">
                  <c:v>0.0</c:v>
                </c:pt>
                <c:pt idx="4" formatCode="m/d/yy">
                  <c:v>0.0</c:v>
                </c:pt>
              </c:numCache>
            </c:numRef>
          </c:val>
        </c:ser>
        <c:dLbls>
          <c:showLegendKey val="0"/>
          <c:showVal val="0"/>
          <c:showCatName val="0"/>
          <c:showSerName val="0"/>
          <c:showPercent val="0"/>
          <c:showBubbleSize val="0"/>
        </c:dLbls>
        <c:gapWidth val="150"/>
        <c:overlap val="100"/>
        <c:axId val="1008549536"/>
        <c:axId val="1008552016"/>
      </c:barChart>
      <c:catAx>
        <c:axId val="1008549536"/>
        <c:scaling>
          <c:orientation val="minMax"/>
        </c:scaling>
        <c:delete val="0"/>
        <c:axPos val="b"/>
        <c:numFmt formatCode="General" sourceLinked="1"/>
        <c:majorTickMark val="out"/>
        <c:minorTickMark val="none"/>
        <c:tickLblPos val="nextTo"/>
        <c:txPr>
          <a:bodyPr/>
          <a:lstStyle/>
          <a:p>
            <a:pPr>
              <a:defRPr b="1"/>
            </a:pPr>
            <a:endParaRPr lang="en-US"/>
          </a:p>
        </c:txPr>
        <c:crossAx val="1008552016"/>
        <c:crosses val="autoZero"/>
        <c:auto val="1"/>
        <c:lblAlgn val="ctr"/>
        <c:lblOffset val="100"/>
        <c:noMultiLvlLbl val="0"/>
      </c:catAx>
      <c:valAx>
        <c:axId val="1008552016"/>
        <c:scaling>
          <c:orientation val="minMax"/>
        </c:scaling>
        <c:delete val="0"/>
        <c:axPos val="l"/>
        <c:majorGridlines>
          <c:spPr>
            <a:ln>
              <a:prstDash val="lgDash"/>
            </a:ln>
          </c:spPr>
        </c:majorGridlines>
        <c:numFmt formatCode="#,##0" sourceLinked="1"/>
        <c:majorTickMark val="out"/>
        <c:minorTickMark val="none"/>
        <c:tickLblPos val="nextTo"/>
        <c:txPr>
          <a:bodyPr/>
          <a:lstStyle/>
          <a:p>
            <a:pPr>
              <a:defRPr b="1"/>
            </a:pPr>
            <a:endParaRPr lang="en-US"/>
          </a:p>
        </c:txPr>
        <c:crossAx val="1008549536"/>
        <c:crosses val="autoZero"/>
        <c:crossBetween val="between"/>
      </c:valAx>
    </c:plotArea>
    <c:legend>
      <c:legendPos val="t"/>
      <c:overlay val="0"/>
      <c:txPr>
        <a:bodyPr/>
        <a:lstStyle/>
        <a:p>
          <a:pPr>
            <a:defRPr b="1"/>
          </a:pPr>
          <a:endParaRPr lang="en-US"/>
        </a:p>
      </c:txPr>
    </c:legend>
    <c:plotVisOnly val="1"/>
    <c:dispBlanksAs val="gap"/>
    <c:showDLblsOverMax val="0"/>
  </c:chart>
  <c:printSettings>
    <c:headerFooter/>
    <c:pageMargins b="1.0" l="0.750000000000002" r="0.750000000000002" t="1.0" header="0.5" footer="0.5"/>
    <c:pageSetup paperSize="9"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10</xdr:col>
      <xdr:colOff>292100</xdr:colOff>
      <xdr:row>137</xdr:row>
      <xdr:rowOff>0</xdr:rowOff>
    </xdr:from>
    <xdr:to>
      <xdr:col>19</xdr:col>
      <xdr:colOff>457200</xdr:colOff>
      <xdr:row>146</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1524001</xdr:colOff>
      <xdr:row>44</xdr:row>
      <xdr:rowOff>12700</xdr:rowOff>
    </xdr:from>
    <xdr:to>
      <xdr:col>12</xdr:col>
      <xdr:colOff>2759665</xdr:colOff>
      <xdr:row>49</xdr:row>
      <xdr:rowOff>152399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52601" y="8001000"/>
          <a:ext cx="1235664" cy="1155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292100</xdr:colOff>
      <xdr:row>218</xdr:row>
      <xdr:rowOff>0</xdr:rowOff>
    </xdr:from>
    <xdr:to>
      <xdr:col>32</xdr:col>
      <xdr:colOff>495300</xdr:colOff>
      <xdr:row>235</xdr:row>
      <xdr:rowOff>139700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165100</xdr:rowOff>
    </xdr:from>
    <xdr:to>
      <xdr:col>8</xdr:col>
      <xdr:colOff>1257300</xdr:colOff>
      <xdr:row>18</xdr:row>
      <xdr:rowOff>88900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114300</xdr:colOff>
      <xdr:row>1</xdr:row>
      <xdr:rowOff>114300</xdr:rowOff>
    </xdr:from>
    <xdr:to>
      <xdr:col>17</xdr:col>
      <xdr:colOff>774700</xdr:colOff>
      <xdr:row>37</xdr:row>
      <xdr:rowOff>12700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292100</xdr:colOff>
      <xdr:row>173</xdr:row>
      <xdr:rowOff>0</xdr:rowOff>
    </xdr:from>
    <xdr:to>
      <xdr:col>19</xdr:col>
      <xdr:colOff>457200</xdr:colOff>
      <xdr:row>182</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w Wood" refreshedDate="42787.580284374999" createdVersion="4" refreshedVersion="4" minRefreshableVersion="3" recordCount="71">
  <cacheSource type="worksheet">
    <worksheetSource ref="B8:T79" sheet="Ward Analysis Pivot Data"/>
  </cacheSource>
  <cacheFields count="19">
    <cacheField name="Ward" numFmtId="0">
      <sharedItems count="8">
        <s v="Canary Wharf"/>
        <s v="Blackwall &amp; Cubitt Town"/>
        <s v="Island Gardens"/>
        <s v="Poplar"/>
        <s v="BCT" u="1"/>
        <s v="Pop" u="1"/>
        <s v="CW" u="1"/>
        <s v="IG" u="1"/>
      </sharedItems>
    </cacheField>
    <cacheField name="Development" numFmtId="0">
      <sharedItems/>
    </cacheField>
    <cacheField name="Comment" numFmtId="0">
      <sharedItems/>
    </cacheField>
    <cacheField name="Closest Main Road" numFmtId="0">
      <sharedItems containsBlank="1" count="14">
        <s v="2011 total"/>
        <s v="Marsh Wall"/>
        <s v="Millharbour"/>
        <s v="Hertsmere"/>
        <s v="Westferry"/>
        <s v="Blackwall Way"/>
        <s v="Leamouth"/>
        <s v="Prestons"/>
        <s v="Limeharbour"/>
        <s v="Manchester"/>
        <s v="Backwall Way"/>
        <s v="Poplar High Street"/>
        <m u="1"/>
        <s v="Ward total" u="1"/>
      </sharedItems>
    </cacheField>
    <cacheField name="Status" numFmtId="0">
      <sharedItems containsBlank="1" count="8">
        <s v="Complete"/>
        <s v="Consultation"/>
        <s v="Demolition"/>
        <s v="Construction"/>
        <s v="Approved"/>
        <s v="Planning application"/>
        <s v="Speculation"/>
        <m u="1"/>
      </sharedItems>
    </cacheField>
    <cacheField name="Completion date" numFmtId="0">
      <sharedItems containsString="0" containsBlank="1" containsNumber="1" containsInteger="1" minValue="2010" maxValue="2031" count="19">
        <n v="2011"/>
        <n v="2014"/>
        <n v="2015"/>
        <n v="2024"/>
        <n v="2021"/>
        <n v="2020"/>
        <n v="2025"/>
        <n v="2023"/>
        <n v="2022"/>
        <n v="2017"/>
        <n v="2026"/>
        <n v="2016"/>
        <n v="2019"/>
        <n v="2031"/>
        <n v="2028"/>
        <n v="2018"/>
        <m/>
        <n v="2030"/>
        <n v="2010" u="1"/>
      </sharedItems>
    </cacheField>
    <cacheField name="Likelyhood of completion %" numFmtId="9">
      <sharedItems containsString="0" containsBlank="1" containsNumber="1" minValue="0.1" maxValue="1"/>
    </cacheField>
    <cacheField name="Type" numFmtId="0">
      <sharedItems containsBlank="1"/>
    </cacheField>
    <cacheField name="Approved by THC" numFmtId="0">
      <sharedItems containsBlank="1"/>
    </cacheField>
    <cacheField name="On sale?" numFmtId="0">
      <sharedItems containsBlank="1"/>
    </cacheField>
    <cacheField name="Height (meters)" numFmtId="0">
      <sharedItems containsBlank="1"/>
    </cacheField>
    <cacheField name="Height (No. of storeys)" numFmtId="0">
      <sharedItems containsBlank="1" containsMixedTypes="1" containsNumber="1" containsInteger="1" minValue="3" maxValue="75"/>
    </cacheField>
    <cacheField name="Density (hrph)" numFmtId="0">
      <sharedItems containsString="0" containsBlank="1" containsNumber="1" containsInteger="1" minValue="606" maxValue="5803"/>
    </cacheField>
    <cacheField name="No. of Households/Units" numFmtId="0">
      <sharedItems containsString="0" containsBlank="1" containsNumber="1" minValue="9" maxValue="6231"/>
    </cacheField>
    <cacheField name="No. of hotel rooms" numFmtId="0">
      <sharedItems containsString="0" containsBlank="1" containsNumber="1" containsInteger="1" minValue="0" maxValue="1167"/>
    </cacheField>
    <cacheField name="Residents" numFmtId="0">
      <sharedItems containsString="0" containsBlank="1" containsNumber="1" containsInteger="1" minValue="0" maxValue="14220"/>
    </cacheField>
    <cacheField name="Children Aged 0-15" numFmtId="0">
      <sharedItems containsString="0" containsBlank="1" containsNumber="1" minValue="0" maxValue="2291"/>
    </cacheField>
    <cacheField name="Per Household" numFmtId="9">
      <sharedItems containsString="0" containsBlank="1" containsNumber="1" minValue="1.7391304347826088E-3" maxValue="1.3526011560693643"/>
    </cacheField>
    <cacheField name="Developer"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1">
  <r>
    <x v="0"/>
    <s v="2011 Census Canary Wharf"/>
    <s v="Census total"/>
    <x v="0"/>
    <x v="0"/>
    <x v="0"/>
    <n v="1"/>
    <m/>
    <m/>
    <m/>
    <m/>
    <m/>
    <m/>
    <n v="6166"/>
    <n v="1167"/>
    <n v="12500"/>
    <n v="1971"/>
    <n v="0.31965617904638338"/>
    <m/>
  </r>
  <r>
    <x v="1"/>
    <s v="2011 Census BCT"/>
    <s v="Census total"/>
    <x v="0"/>
    <x v="0"/>
    <x v="0"/>
    <n v="1"/>
    <m/>
    <m/>
    <m/>
    <m/>
    <m/>
    <m/>
    <n v="6227"/>
    <n v="0"/>
    <n v="13531"/>
    <n v="2256"/>
    <n v="0.36229323911996147"/>
    <m/>
  </r>
  <r>
    <x v="2"/>
    <s v="2011 Census Island Gardens"/>
    <s v="Census total"/>
    <x v="0"/>
    <x v="0"/>
    <x v="0"/>
    <n v="1"/>
    <m/>
    <m/>
    <m/>
    <m/>
    <m/>
    <m/>
    <n v="6231"/>
    <n v="0"/>
    <n v="14220"/>
    <n v="2291"/>
    <n v="0.36767774033060502"/>
    <m/>
  </r>
  <r>
    <x v="3"/>
    <s v="2011 Census Poplar"/>
    <s v="Census total"/>
    <x v="0"/>
    <x v="0"/>
    <x v="0"/>
    <n v="1"/>
    <m/>
    <m/>
    <m/>
    <m/>
    <m/>
    <m/>
    <n v="2445"/>
    <m/>
    <n v="6957"/>
    <n v="1797"/>
    <n v="0.73496932515337421"/>
    <m/>
  </r>
  <r>
    <x v="0"/>
    <s v="Pan Peninsula "/>
    <s v="Open 2009 but people still moving in"/>
    <x v="1"/>
    <x v="0"/>
    <x v="0"/>
    <n v="1"/>
    <m/>
    <s v="Yes"/>
    <m/>
    <s v="147m"/>
    <n v="48"/>
    <m/>
    <n v="393"/>
    <m/>
    <n v="786"/>
    <m/>
    <m/>
    <s v="Ballymore"/>
  </r>
  <r>
    <x v="0"/>
    <s v="Phoenix Heights"/>
    <s v="Open 2009 but people still moving in"/>
    <x v="1"/>
    <x v="0"/>
    <x v="0"/>
    <n v="1"/>
    <m/>
    <s v="Yes"/>
    <m/>
    <s v="65m"/>
    <n v="23"/>
    <m/>
    <n v="99.5"/>
    <m/>
    <n v="199"/>
    <n v="132.97500000000002"/>
    <n v="1.3364321608040204"/>
    <s v="Ballymore"/>
  </r>
  <r>
    <x v="0"/>
    <s v="Landmark "/>
    <s v="Open summer 2010 but pepple still moving in"/>
    <x v="1"/>
    <x v="0"/>
    <x v="0"/>
    <n v="1"/>
    <m/>
    <s v="Yes"/>
    <m/>
    <s v="145m"/>
    <n v="45"/>
    <m/>
    <n v="402"/>
    <m/>
    <n v="804"/>
    <n v="108.54"/>
    <n v="0.27"/>
    <s v="Chalegrove"/>
  </r>
  <r>
    <x v="0"/>
    <s v="Millharbour developments"/>
    <s v="People still moving in 2011"/>
    <x v="2"/>
    <x v="0"/>
    <x v="0"/>
    <n v="1"/>
    <m/>
    <s v="Yes"/>
    <m/>
    <m/>
    <m/>
    <m/>
    <n v="300"/>
    <m/>
    <n v="600"/>
    <n v="81"/>
    <n v="0.27"/>
    <m/>
  </r>
  <r>
    <x v="0"/>
    <s v="Tiller Road - Fairwater"/>
    <s v="Open 2014"/>
    <x v="2"/>
    <x v="0"/>
    <x v="1"/>
    <n v="1"/>
    <m/>
    <s v="Yes"/>
    <m/>
    <m/>
    <m/>
    <m/>
    <n v="56"/>
    <m/>
    <n v="112"/>
    <n v="15.120000000000001"/>
    <n v="0.27"/>
    <m/>
  </r>
  <r>
    <x v="0"/>
    <s v="Tune Hotel, Hertsmere Rd in 2 buildings"/>
    <s v="Complete and open 2015"/>
    <x v="3"/>
    <x v="0"/>
    <x v="2"/>
    <n v="1"/>
    <s v="Hotel"/>
    <s v="Yes"/>
    <s v="N/A"/>
    <m/>
    <n v="3"/>
    <m/>
    <m/>
    <n v="130"/>
    <m/>
    <m/>
    <m/>
    <m/>
  </r>
  <r>
    <x v="0"/>
    <s v="North Quay, Canary Wharf"/>
    <s v="Office approved, new application coming"/>
    <x v="3"/>
    <x v="1"/>
    <x v="3"/>
    <n v="0.8"/>
    <s v="Mixed"/>
    <s v="No"/>
    <s v="No"/>
    <s v="228m"/>
    <n v="66"/>
    <m/>
    <n v="1639"/>
    <m/>
    <n v="3278"/>
    <n v="442.53000000000003"/>
    <n v="0.27"/>
    <s v="Canary Wharf Group"/>
  </r>
  <r>
    <x v="0"/>
    <s v="The Spire, West India Quay "/>
    <s v="Demolition complete &amp; sales started"/>
    <x v="3"/>
    <x v="2"/>
    <x v="4"/>
    <n v="1"/>
    <s v="Mixed"/>
    <s v="Yes"/>
    <s v="Yes"/>
    <s v="242m"/>
    <n v="67"/>
    <m/>
    <n v="861"/>
    <m/>
    <n v="1722"/>
    <n v="101"/>
    <n v="0.1173054587688734"/>
    <s v="Greenland"/>
  </r>
  <r>
    <x v="0"/>
    <s v="South Quay Plaza, Marsh Wall "/>
    <s v="Demolition started"/>
    <x v="1"/>
    <x v="3"/>
    <x v="5"/>
    <n v="1"/>
    <s v="Mixed"/>
    <s v="Yes"/>
    <s v="Yes"/>
    <s v="220m"/>
    <n v="68"/>
    <n v="2140"/>
    <n v="888"/>
    <m/>
    <n v="1776"/>
    <n v="227"/>
    <n v="0.25563063063063063"/>
    <s v="Berkeley Group"/>
  </r>
  <r>
    <x v="0"/>
    <s v="South Quay Plaza 4 extension"/>
    <s v="Approved"/>
    <x v="1"/>
    <x v="4"/>
    <x v="6"/>
    <n v="0.6"/>
    <s v="Mixed"/>
    <s v="Yes"/>
    <s v="?"/>
    <s v="210m"/>
    <n v="56"/>
    <m/>
    <n v="396"/>
    <m/>
    <n v="792"/>
    <n v="95"/>
    <n v="0.23989898989898989"/>
    <s v="Berkeley Group"/>
  </r>
  <r>
    <x v="0"/>
    <s v="Alpha Square - 50 Marsh Wall"/>
    <s v="Approved by GLA"/>
    <x v="1"/>
    <x v="4"/>
    <x v="7"/>
    <n v="0.9"/>
    <s v="Mixed"/>
    <s v="Yes"/>
    <s v="No"/>
    <s v="213.5m"/>
    <n v="60"/>
    <m/>
    <n v="634"/>
    <n v="273"/>
    <n v="1268"/>
    <n v="120"/>
    <n v="0.1892744479495268"/>
    <s v="FEC"/>
  </r>
  <r>
    <x v="0"/>
    <s v="54 Marsh Wall, Nat West office"/>
    <s v="Approved"/>
    <x v="1"/>
    <x v="4"/>
    <x v="8"/>
    <n v="0.9"/>
    <s v="Mixed"/>
    <s v="Yes"/>
    <s v="No"/>
    <m/>
    <n v="41"/>
    <m/>
    <n v="216"/>
    <m/>
    <n v="432"/>
    <n v="77"/>
    <n v="0.35648148148148145"/>
    <s v="?"/>
  </r>
  <r>
    <x v="0"/>
    <s v="Jemstock site to north of Hilton hotel - half built"/>
    <s v="Approved but gone quiet"/>
    <x v="1"/>
    <x v="4"/>
    <x v="6"/>
    <n v="0.9"/>
    <s v="PRS"/>
    <s v="Yes"/>
    <s v="N/A"/>
    <m/>
    <n v="10"/>
    <m/>
    <n v="206"/>
    <m/>
    <n v="412"/>
    <n v="55.620000000000005"/>
    <n v="0.27"/>
    <s v="?"/>
  </r>
  <r>
    <x v="0"/>
    <s v="Landmark Pinnacle (City Pride), Marsh Wall"/>
    <s v="200 units already sold"/>
    <x v="1"/>
    <x v="3"/>
    <x v="5"/>
    <n v="1"/>
    <s v="Private"/>
    <s v="Yes"/>
    <s v="Yes"/>
    <s v="239m"/>
    <n v="75"/>
    <n v="5803"/>
    <n v="984"/>
    <m/>
    <n v="1968"/>
    <n v="61"/>
    <n v="6.1991869918699184E-2"/>
    <s v="Chalegrove Properties"/>
  </r>
  <r>
    <x v="0"/>
    <s v="Wardian (Arrowhead Quay), Marsh Wall"/>
    <s v="Under construction"/>
    <x v="1"/>
    <x v="3"/>
    <x v="4"/>
    <n v="1"/>
    <s v="Mixed"/>
    <s v="Yes"/>
    <s v="Yes"/>
    <s v="188m"/>
    <n v="55"/>
    <n v="3357"/>
    <n v="756"/>
    <m/>
    <n v="1512"/>
    <n v="165"/>
    <n v="0.21825396825396826"/>
    <s v="Eco World Ballymore Holding Company Limited "/>
  </r>
  <r>
    <x v="0"/>
    <s v="Newfoundland, Canary Wharf"/>
    <s v="Construction started"/>
    <x v="1"/>
    <x v="3"/>
    <x v="5"/>
    <n v="1"/>
    <s v="PRS"/>
    <s v="Yes"/>
    <s v="PRS"/>
    <s v="218m"/>
    <n v="58"/>
    <n v="2738"/>
    <n v="575"/>
    <m/>
    <n v="1150"/>
    <n v="1"/>
    <n v="1.7391304347826088E-3"/>
    <s v="Canary Wharf Group"/>
  </r>
  <r>
    <x v="0"/>
    <s v="Novotel 40 Marsh Wall"/>
    <s v="Construction almost complete"/>
    <x v="1"/>
    <x v="3"/>
    <x v="9"/>
    <n v="1"/>
    <s v="Hotel"/>
    <s v="Yes"/>
    <s v="N/A"/>
    <s v="127m"/>
    <n v="39"/>
    <m/>
    <m/>
    <n v="305"/>
    <m/>
    <m/>
    <m/>
    <s v="Novotel"/>
  </r>
  <r>
    <x v="0"/>
    <s v="30 Marsh Wall "/>
    <s v="Application withdrawn"/>
    <x v="1"/>
    <x v="1"/>
    <x v="6"/>
    <n v="0.5"/>
    <s v="Mixed"/>
    <s v="No"/>
    <s v="No"/>
    <s v="?"/>
    <n v="43"/>
    <m/>
    <n v="275"/>
    <m/>
    <n v="550"/>
    <n v="74.25"/>
    <n v="0.27"/>
    <s v="?"/>
  </r>
  <r>
    <x v="0"/>
    <s v="3 Millharbour "/>
    <s v="Approved"/>
    <x v="2"/>
    <x v="4"/>
    <x v="10"/>
    <n v="0.6"/>
    <s v="Mixed"/>
    <s v="Yes"/>
    <s v="No"/>
    <m/>
    <n v="44"/>
    <n v="1875"/>
    <n v="1513"/>
    <m/>
    <n v="3026"/>
    <n v="507"/>
    <n v="0.33509583608724386"/>
    <s v="Galliard"/>
  </r>
  <r>
    <x v="0"/>
    <s v="Lincoln Plaza, Millharbour "/>
    <s v="Almost complete"/>
    <x v="2"/>
    <x v="0"/>
    <x v="11"/>
    <n v="1"/>
    <s v="Mixed"/>
    <s v="Yes"/>
    <s v="Yes"/>
    <s v="99m"/>
    <n v="32"/>
    <n v="1528"/>
    <n v="546"/>
    <m/>
    <n v="1092"/>
    <n v="168"/>
    <n v="0.30769230769230771"/>
    <s v="Galliard"/>
  </r>
  <r>
    <x v="0"/>
    <s v="2 Millharbour"/>
    <s v="Greystar have bought "/>
    <x v="2"/>
    <x v="3"/>
    <x v="4"/>
    <n v="1"/>
    <s v="Mixed"/>
    <s v="Yes"/>
    <s v="Yes"/>
    <s v="148m"/>
    <n v="42"/>
    <n v="2492"/>
    <n v="901"/>
    <m/>
    <n v="1802"/>
    <n v="240"/>
    <n v="0.26637069922308548"/>
    <s v="Galliard &amp; Frogmore"/>
  </r>
  <r>
    <x v="0"/>
    <s v="45 Millharbour "/>
    <s v="Construction started"/>
    <x v="2"/>
    <x v="3"/>
    <x v="12"/>
    <n v="1"/>
    <s v="Mixed"/>
    <s v="Yes"/>
    <s v="?"/>
    <m/>
    <n v="14"/>
    <m/>
    <n v="132"/>
    <m/>
    <n v="264"/>
    <n v="35.64"/>
    <n v="0.27"/>
    <s v="?"/>
  </r>
  <r>
    <x v="0"/>
    <s v="Westferry Printworks, Westferry"/>
    <s v="Demolition started"/>
    <x v="2"/>
    <x v="2"/>
    <x v="8"/>
    <n v="1"/>
    <s v="Mixed"/>
    <s v="Yes"/>
    <s v="No"/>
    <m/>
    <n v="30"/>
    <m/>
    <n v="722"/>
    <m/>
    <n v="1444"/>
    <n v="161"/>
    <n v="0.22299168975069253"/>
    <s v="Northern &amp; Shell Investments"/>
  </r>
  <r>
    <x v="0"/>
    <s v="Glengall Bridge, Millharbour"/>
    <s v="Public consultation started"/>
    <x v="2"/>
    <x v="5"/>
    <x v="6"/>
    <n v="0.9"/>
    <s v="PRS"/>
    <s v="No"/>
    <s v="N/A"/>
    <s v="137m"/>
    <n v="45"/>
    <m/>
    <n v="484"/>
    <m/>
    <n v="968"/>
    <n v="130.68"/>
    <n v="0.27"/>
    <s v="Meadow"/>
  </r>
  <r>
    <x v="0"/>
    <s v="31 Westferry Road"/>
    <s v="Under construction"/>
    <x v="4"/>
    <x v="3"/>
    <x v="9"/>
    <n v="1"/>
    <s v="Mixed"/>
    <s v="Yes"/>
    <s v="Yes"/>
    <m/>
    <m/>
    <m/>
    <n v="9"/>
    <m/>
    <n v="18"/>
    <n v="2.4300000000000002"/>
    <n v="0.27"/>
    <s v="?"/>
  </r>
  <r>
    <x v="0"/>
    <s v="Barkantine OHG redevelopment 769 units today"/>
    <s v="Consultation started"/>
    <x v="4"/>
    <x v="1"/>
    <x v="13"/>
    <n v="0.1"/>
    <s v="Estate Regeneration"/>
    <s v="No"/>
    <m/>
    <m/>
    <s v="?"/>
    <m/>
    <n v="2698"/>
    <m/>
    <n v="5396"/>
    <n v="728.46"/>
    <n v="0.27"/>
    <s v="OHG / Argent"/>
  </r>
  <r>
    <x v="0"/>
    <s v="Cuba &amp; Manilla next to Landmark"/>
    <s v="May go to SDC in Feb 2017"/>
    <x v="4"/>
    <x v="5"/>
    <x v="3"/>
    <n v="0.5"/>
    <s v="Mixed"/>
    <s v="No"/>
    <s v="No"/>
    <s v="146.5m"/>
    <s v="40?"/>
    <m/>
    <n v="500"/>
    <m/>
    <n v="1000"/>
    <n v="135"/>
    <n v="0.27"/>
    <s v="Ballymore"/>
  </r>
  <r>
    <x v="0"/>
    <s v="Greenwich view "/>
    <s v="Rumour, site allocation, data centre construction"/>
    <x v="2"/>
    <x v="6"/>
    <x v="13"/>
    <n v="0.2"/>
    <s v="Mixed"/>
    <s v="No"/>
    <s v="No"/>
    <s v="Yes"/>
    <s v="No"/>
    <m/>
    <n v="400"/>
    <m/>
    <n v="800"/>
    <n v="108"/>
    <n v="0.27"/>
    <m/>
  </r>
  <r>
    <x v="0"/>
    <s v="Britannia Hotel"/>
    <s v="Rumour of sale"/>
    <x v="1"/>
    <x v="6"/>
    <x v="13"/>
    <n v="0.2"/>
    <s v="Mixed"/>
    <s v="No"/>
    <s v="No"/>
    <s v="No"/>
    <s v="Yes"/>
    <m/>
    <n v="300"/>
    <m/>
    <n v="600"/>
    <n v="81"/>
    <n v="0.27"/>
    <m/>
  </r>
  <r>
    <x v="0"/>
    <s v="Westerferry Circus - JP Morgan site "/>
    <s v="On hold, office approved, might restart"/>
    <x v="1"/>
    <x v="6"/>
    <x v="13"/>
    <n v="0.8"/>
    <s v="Mixed"/>
    <s v="Yes"/>
    <s v="No"/>
    <s v="Yes"/>
    <s v="No"/>
    <m/>
    <n v="2000"/>
    <m/>
    <n v="4000"/>
    <n v="540"/>
    <n v="0.27"/>
    <m/>
  </r>
  <r>
    <x v="0"/>
    <s v="City Gateway site, Mastmaker"/>
    <s v="Site allocation"/>
    <x v="1"/>
    <x v="6"/>
    <x v="13"/>
    <n v="0.2"/>
    <s v="Mixed"/>
    <s v="No"/>
    <s v="No"/>
    <s v="Yes"/>
    <s v="Yes"/>
    <m/>
    <n v="400"/>
    <m/>
    <n v="800"/>
    <n v="108"/>
    <n v="0.27"/>
    <m/>
  </r>
  <r>
    <x v="0"/>
    <s v="Admiral Way estate"/>
    <s v="Active developer interest"/>
    <x v="1"/>
    <x v="6"/>
    <x v="13"/>
    <n v="0.2"/>
    <s v="Mixed"/>
    <s v="No"/>
    <s v="No"/>
    <s v="Yes"/>
    <s v="Yes"/>
    <m/>
    <n v="700"/>
    <m/>
    <n v="1400"/>
    <n v="189"/>
    <n v="0.27"/>
    <m/>
  </r>
  <r>
    <x v="1"/>
    <s v="Blackwall Yard"/>
    <s v="On hold? But site allocation"/>
    <x v="5"/>
    <x v="1"/>
    <x v="14"/>
    <n v="0.6"/>
    <s v="Mixed"/>
    <s v="No"/>
    <s v="No"/>
    <m/>
    <n v="29"/>
    <m/>
    <n v="716"/>
    <m/>
    <n v="1432"/>
    <n v="193.32000000000002"/>
    <n v="0.27"/>
    <s v="?"/>
  </r>
  <r>
    <x v="1"/>
    <s v="Providence Tower "/>
    <s v="People moving in"/>
    <x v="5"/>
    <x v="0"/>
    <x v="11"/>
    <n v="1"/>
    <s v="Mixed"/>
    <s v="Yes"/>
    <s v="Yes"/>
    <s v="142m"/>
    <n v="43"/>
    <n v="1429"/>
    <n v="484"/>
    <m/>
    <n v="968"/>
    <n v="130.68"/>
    <n v="0.27"/>
    <s v="Ballymore"/>
  </r>
  <r>
    <x v="1"/>
    <s v="Virginia Quay"/>
    <s v="Complete 2016"/>
    <x v="5"/>
    <x v="0"/>
    <x v="11"/>
    <n v="1"/>
    <s v="Mixed"/>
    <s v="Yes"/>
    <s v="Yes"/>
    <m/>
    <n v="12"/>
    <m/>
    <n v="23"/>
    <m/>
    <n v="46"/>
    <n v="6.2100000000000009"/>
    <n v="0.27"/>
    <m/>
  </r>
  <r>
    <x v="1"/>
    <s v="London City Island, 13 buildings"/>
    <s v="People moving in in stages"/>
    <x v="6"/>
    <x v="3"/>
    <x v="8"/>
    <n v="1"/>
    <s v="Mixed"/>
    <s v="Yes"/>
    <s v="Yes"/>
    <m/>
    <n v="26"/>
    <n v="887"/>
    <n v="1706"/>
    <m/>
    <n v="3412"/>
    <n v="460.62"/>
    <n v="0.27"/>
    <s v="Eco World Ballymore Holding Company Limited "/>
  </r>
  <r>
    <x v="1"/>
    <s v="Hercules Wharf, Union Wharf and Castle Wharf"/>
    <s v="In planning process"/>
    <x v="6"/>
    <x v="4"/>
    <x v="10"/>
    <n v="0.8"/>
    <s v="Mixed"/>
    <s v="Yes"/>
    <s v="No"/>
    <m/>
    <n v="30"/>
    <m/>
    <n v="804"/>
    <m/>
    <n v="1608"/>
    <n v="217.08"/>
    <n v="0.27"/>
    <s v="Ballymore"/>
  </r>
  <r>
    <x v="1"/>
    <s v="Castle Wharf Esso Petrol Station"/>
    <s v="Planning application approved"/>
    <x v="6"/>
    <x v="2"/>
    <x v="7"/>
    <n v="0.9"/>
    <s v="Mixed"/>
    <s v="Yes"/>
    <s v="No"/>
    <m/>
    <n v="24"/>
    <m/>
    <n v="338"/>
    <m/>
    <n v="676"/>
    <n v="96"/>
    <n v="0.28402366863905326"/>
    <s v="Galliard"/>
  </r>
  <r>
    <x v="1"/>
    <s v="New Wood Wharf max. calculation hotel estimate"/>
    <s v="Construction started"/>
    <x v="7"/>
    <x v="3"/>
    <x v="14"/>
    <n v="1"/>
    <s v="Mixed"/>
    <s v="Yes"/>
    <s v="Yes"/>
    <s v="211m"/>
    <n v="50"/>
    <n v="1796"/>
    <n v="3610"/>
    <n v="300"/>
    <n v="7220"/>
    <n v="715"/>
    <n v="0.19806094182825484"/>
    <s v="Canary Wharf Group"/>
  </r>
  <r>
    <x v="1"/>
    <s v="Helix, Prestons Roundabout - replacing MacDonalds"/>
    <s v="On hold?"/>
    <x v="7"/>
    <x v="4"/>
    <x v="6"/>
    <n v="0.8"/>
    <s v="PRS"/>
    <s v="Yes"/>
    <s v="N/A"/>
    <m/>
    <n v="35"/>
    <n v="2558"/>
    <n v="414"/>
    <m/>
    <n v="828"/>
    <n v="140"/>
    <n v="0.33816425120772947"/>
    <s v="McDonalds, Trafalgar Way Limited"/>
  </r>
  <r>
    <x v="1"/>
    <s v="Horizons, Prestons Road (next to dump)"/>
    <s v="Complete 2016"/>
    <x v="7"/>
    <x v="0"/>
    <x v="11"/>
    <n v="1"/>
    <s v="Mixed"/>
    <s v="Yes"/>
    <s v="Yes"/>
    <m/>
    <n v="26"/>
    <n v="2103"/>
    <n v="190"/>
    <m/>
    <n v="380"/>
    <n v="17"/>
    <n v="8.9473684210526316E-2"/>
    <m/>
  </r>
  <r>
    <x v="1"/>
    <s v="225 Marsh Wall"/>
    <s v="Planning application submitted"/>
    <x v="1"/>
    <x v="5"/>
    <x v="8"/>
    <n v="0.9"/>
    <s v="Mixed"/>
    <s v="No"/>
    <s v="No"/>
    <s v="163m"/>
    <n v="48"/>
    <m/>
    <n v="336"/>
    <m/>
    <n v="672"/>
    <n v="90.72"/>
    <n v="0.27"/>
    <s v="Cubitt Property Holdings"/>
  </r>
  <r>
    <x v="1"/>
    <s v="The Madison (Meridian Gate), Marsh Wall"/>
    <s v="Being demolished, being sold"/>
    <x v="1"/>
    <x v="3"/>
    <x v="5"/>
    <n v="1"/>
    <s v="Mixed"/>
    <s v="Yes"/>
    <s v="Yes"/>
    <s v="187m"/>
    <n v="53"/>
    <n v="2850"/>
    <n v="423"/>
    <m/>
    <n v="846"/>
    <n v="105"/>
    <n v="0.24822695035460993"/>
    <s v="LBS Properties and Meridian Property Holdings"/>
  </r>
  <r>
    <x v="1"/>
    <s v="Dollar Bay, Marsh Wall"/>
    <s v="Under construction"/>
    <x v="1"/>
    <x v="3"/>
    <x v="9"/>
    <n v="1"/>
    <s v="Mixed"/>
    <s v="Yes"/>
    <s v="Yes"/>
    <m/>
    <n v="31"/>
    <n v="1123"/>
    <n v="121"/>
    <m/>
    <n v="242"/>
    <n v="32.67"/>
    <n v="0.27"/>
    <s v="&amp; OHG"/>
  </r>
  <r>
    <x v="1"/>
    <s v="Skylines"/>
    <s v="Consultation in Q1 2017"/>
    <x v="1"/>
    <x v="1"/>
    <x v="10"/>
    <n v="0.6"/>
    <s v="Mixed"/>
    <s v="No"/>
    <s v="No"/>
    <m/>
    <m/>
    <m/>
    <n v="500"/>
    <m/>
    <n v="1000"/>
    <n v="135"/>
    <n v="0.27"/>
    <s v="Rolfe Judd"/>
  </r>
  <r>
    <x v="1"/>
    <s v="ASDA re-development "/>
    <s v="Approved, being reworked?"/>
    <x v="8"/>
    <x v="1"/>
    <x v="10"/>
    <n v="0.8"/>
    <s v="Mixed"/>
    <s v="Yes"/>
    <s v="No"/>
    <s v="86.6m"/>
    <n v="23"/>
    <n v="606"/>
    <n v="1600"/>
    <m/>
    <n v="3200"/>
    <n v="381"/>
    <n v="0.238125"/>
    <s v="Arzan Wealth"/>
  </r>
  <r>
    <x v="1"/>
    <s v="Baltimore Tower, Limeharbour"/>
    <s v="Almost complete"/>
    <x v="8"/>
    <x v="3"/>
    <x v="9"/>
    <n v="1"/>
    <s v="Mixed"/>
    <s v="Yes"/>
    <s v="Yes"/>
    <s v="155m"/>
    <n v="45"/>
    <m/>
    <n v="330"/>
    <m/>
    <n v="660"/>
    <n v="89.100000000000009"/>
    <n v="0.27"/>
    <s v="Galliard &amp; Frogmore"/>
  </r>
  <r>
    <x v="1"/>
    <s v="7 Limeharbour, Telford "/>
    <s v="Under construction"/>
    <x v="8"/>
    <x v="3"/>
    <x v="12"/>
    <n v="1"/>
    <s v="Mixed"/>
    <s v="Yes"/>
    <s v="Yes"/>
    <m/>
    <n v="29"/>
    <n v="1320"/>
    <n v="167"/>
    <m/>
    <n v="334"/>
    <n v="40"/>
    <n v="0.23952095808383234"/>
    <s v="Telford Homes"/>
  </r>
  <r>
    <x v="1"/>
    <s v="Turnberry Quay and Lanark Square"/>
    <s v="Under construction"/>
    <x v="8"/>
    <x v="3"/>
    <x v="15"/>
    <n v="1"/>
    <s v="Mixed"/>
    <s v="Yes"/>
    <s v="Yes"/>
    <m/>
    <n v="13"/>
    <n v="1015"/>
    <n v="89"/>
    <m/>
    <n v="178"/>
    <n v="26"/>
    <n v="0.29213483146067415"/>
    <m/>
  </r>
  <r>
    <x v="1"/>
    <s v="Boatmans House, Selsdon Way"/>
    <s v="Refused January 2017"/>
    <x v="8"/>
    <x v="1"/>
    <x v="16"/>
    <n v="0.1"/>
    <s v="Mixed"/>
    <s v="No"/>
    <s v="No"/>
    <m/>
    <m/>
    <m/>
    <m/>
    <m/>
    <n v="0"/>
    <n v="0"/>
    <m/>
    <m/>
  </r>
  <r>
    <x v="1"/>
    <s v="Samuda OHG redevelopment 517 units today"/>
    <s v="Consultation started"/>
    <x v="9"/>
    <x v="1"/>
    <x v="13"/>
    <n v="0.9"/>
    <s v="Estate Regeneration"/>
    <s v="No"/>
    <s v="No"/>
    <m/>
    <s v="?"/>
    <m/>
    <n v="1696"/>
    <m/>
    <n v="3392"/>
    <n v="457.92"/>
    <n v="0.27"/>
    <s v="OHG"/>
  </r>
  <r>
    <x v="1"/>
    <s v="St Johns OHG redevelopment 607 units today"/>
    <s v="Consultation started"/>
    <x v="9"/>
    <x v="1"/>
    <x v="13"/>
    <n v="0.7"/>
    <s v="Estate Regeneration"/>
    <s v="No"/>
    <s v="No"/>
    <m/>
    <s v="?"/>
    <m/>
    <n v="2202"/>
    <m/>
    <n v="4404"/>
    <n v="594.54000000000008"/>
    <n v="0.27"/>
    <s v="OHG"/>
  </r>
  <r>
    <x v="1"/>
    <s v="New Union Wharf (incremental units)"/>
    <s v="Under construction"/>
    <x v="9"/>
    <x v="3"/>
    <x v="5"/>
    <n v="1"/>
    <s v="Estate Regeneration"/>
    <s v="Yes"/>
    <s v="Yes"/>
    <m/>
    <n v="14"/>
    <m/>
    <n v="210"/>
    <m/>
    <n v="420"/>
    <n v="56.7"/>
    <n v="0.27"/>
    <s v="East Thames"/>
  </r>
  <r>
    <x v="1"/>
    <s v="Yalbsley Street recycling"/>
    <s v="Council owned"/>
    <x v="7"/>
    <x v="6"/>
    <x v="13"/>
    <n v="0.1"/>
    <m/>
    <s v="No"/>
    <s v="No"/>
    <m/>
    <m/>
    <m/>
    <n v="200"/>
    <m/>
    <n v="400"/>
    <n v="54"/>
    <n v="0.27"/>
    <m/>
  </r>
  <r>
    <x v="1"/>
    <s v="Reuters"/>
    <s v="2003 permission for 2008 units, site allocation"/>
    <x v="10"/>
    <x v="6"/>
    <x v="13"/>
    <n v="0.2"/>
    <m/>
    <s v="No"/>
    <s v="No"/>
    <m/>
    <m/>
    <m/>
    <n v="708"/>
    <m/>
    <n v="1416"/>
    <n v="191.16000000000003"/>
    <n v="0.27"/>
    <m/>
  </r>
  <r>
    <x v="1"/>
    <s v="Silvocea Way transport depot"/>
    <s v="Council owned"/>
    <x v="6"/>
    <x v="6"/>
    <x v="13"/>
    <n v="0.2"/>
    <m/>
    <s v="No"/>
    <s v="No"/>
    <m/>
    <m/>
    <m/>
    <n v="200"/>
    <m/>
    <n v="400"/>
    <n v="54"/>
    <n v="0.27"/>
    <m/>
  </r>
  <r>
    <x v="1"/>
    <s v="Rest of waterside South Quay east / Thames Quay"/>
    <s v="Site allocation. Rumour &amp; estimate based on developers models"/>
    <x v="1"/>
    <x v="6"/>
    <x v="13"/>
    <n v="0.2"/>
    <m/>
    <s v="No"/>
    <s v="No"/>
    <m/>
    <m/>
    <m/>
    <n v="700"/>
    <m/>
    <n v="1400"/>
    <n v="189"/>
    <n v="0.27"/>
    <m/>
  </r>
  <r>
    <x v="2"/>
    <s v="Island Point "/>
    <s v="Linked to City Pride"/>
    <x v="4"/>
    <x v="3"/>
    <x v="12"/>
    <n v="1"/>
    <m/>
    <s v="Yes"/>
    <s v="No"/>
    <m/>
    <m/>
    <m/>
    <n v="173"/>
    <m/>
    <n v="346"/>
    <n v="234"/>
    <n v="1.3526011560693643"/>
    <m/>
  </r>
  <r>
    <x v="2"/>
    <s v="Cutty Sark House, next to Mudchute DLR"/>
    <s v="Complete"/>
    <x v="4"/>
    <x v="0"/>
    <x v="11"/>
    <n v="1"/>
    <m/>
    <s v="Yes"/>
    <s v="Yes"/>
    <m/>
    <m/>
    <m/>
    <n v="36"/>
    <m/>
    <n v="72"/>
    <n v="9.7200000000000006"/>
    <n v="0.27"/>
    <m/>
  </r>
  <r>
    <x v="2"/>
    <s v="Kingsbridge OHG redevelopment 134 units today"/>
    <s v="Consultation started"/>
    <x v="4"/>
    <x v="1"/>
    <x v="17"/>
    <m/>
    <m/>
    <s v="No"/>
    <s v="No"/>
    <m/>
    <s v="?"/>
    <m/>
    <n v="283"/>
    <m/>
    <n v="566"/>
    <n v="76.410000000000011"/>
    <n v="0.27"/>
    <m/>
  </r>
  <r>
    <x v="2"/>
    <s v="Islands Gardens Estate "/>
    <s v="Complete"/>
    <x v="9"/>
    <x v="0"/>
    <x v="11"/>
    <m/>
    <m/>
    <s v="Yes"/>
    <s v="Yes"/>
    <m/>
    <m/>
    <m/>
    <n v="62"/>
    <m/>
    <n v="124"/>
    <n v="16.740000000000002"/>
    <n v="0.27"/>
    <m/>
  </r>
  <r>
    <x v="2"/>
    <s v="Betty May Gray House"/>
    <s v="Complete"/>
    <x v="9"/>
    <x v="0"/>
    <x v="11"/>
    <m/>
    <m/>
    <s v="Yes"/>
    <s v="Yes"/>
    <m/>
    <m/>
    <m/>
    <n v="39"/>
    <m/>
    <n v="78"/>
    <n v="10.530000000000001"/>
    <n v="0.27"/>
    <m/>
  </r>
  <r>
    <x v="2"/>
    <s v="Calders Wharf "/>
    <s v="Approved"/>
    <x v="9"/>
    <x v="4"/>
    <x v="4"/>
    <m/>
    <m/>
    <s v="Yes"/>
    <s v="Yes"/>
    <m/>
    <m/>
    <m/>
    <n v="26"/>
    <m/>
    <n v="52"/>
    <n v="7.0200000000000005"/>
    <n v="0.27"/>
    <m/>
  </r>
  <r>
    <x v="3"/>
    <s v="Poplar Baths"/>
    <s v="Complete"/>
    <x v="11"/>
    <x v="0"/>
    <x v="11"/>
    <n v="1"/>
    <s v="Mixed"/>
    <s v="Yes"/>
    <s v="Yes"/>
    <m/>
    <n v="10"/>
    <m/>
    <n v="100"/>
    <m/>
    <n v="200"/>
    <n v="27"/>
    <n v="0.27"/>
    <m/>
  </r>
  <r>
    <x v="3"/>
    <s v="Blackwall Reach (Robin Hood Gardens)"/>
    <s v="Under construction, net increase in units"/>
    <x v="7"/>
    <x v="3"/>
    <x v="6"/>
    <n v="1"/>
    <s v="Mixed"/>
    <s v="Yes"/>
    <s v="Yes"/>
    <m/>
    <m/>
    <m/>
    <n v="1323"/>
    <m/>
    <n v="2646"/>
    <n v="357.21000000000004"/>
    <n v="0.27"/>
    <s v="Swan &amp; THC"/>
  </r>
  <r>
    <x v="3"/>
    <s v="Poplar Business Park"/>
    <s v="Under construction"/>
    <x v="7"/>
    <x v="3"/>
    <x v="12"/>
    <n v="1"/>
    <s v="Mixed"/>
    <s v="Yes"/>
    <s v="Yes"/>
    <m/>
    <n v="22"/>
    <m/>
    <n v="392"/>
    <m/>
    <n v="784"/>
    <n v="105.84"/>
    <n v="0.27"/>
    <m/>
  </r>
  <r>
    <x v="3"/>
    <s v="82 West India Dock Road (in Limehouse)"/>
    <s v="Planning application"/>
    <x v="4"/>
    <x v="5"/>
    <x v="6"/>
    <n v="0.7"/>
    <s v="Mixed"/>
    <s v="No"/>
    <s v="No"/>
    <m/>
    <n v="37"/>
    <m/>
    <n v="199"/>
    <n v="320"/>
    <n v="398"/>
    <n v="53.730000000000004"/>
    <n v="0.2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D27" firstHeaderRow="0" firstDataRow="1" firstDataCol="1" rowPageCount="1" colPageCount="1"/>
  <pivotFields count="19">
    <pivotField axis="axisRow" showAll="0">
      <items count="9">
        <item m="1" x="4"/>
        <item m="1" x="6"/>
        <item m="1" x="7"/>
        <item m="1" x="5"/>
        <item x="0"/>
        <item x="1"/>
        <item x="2"/>
        <item x="3"/>
        <item t="default"/>
      </items>
    </pivotField>
    <pivotField showAll="0"/>
    <pivotField showAll="0"/>
    <pivotField axis="axisRow" dataField="1" showAll="0">
      <items count="15">
        <item x="5"/>
        <item x="3"/>
        <item x="6"/>
        <item x="8"/>
        <item x="9"/>
        <item x="1"/>
        <item x="2"/>
        <item x="11"/>
        <item x="7"/>
        <item x="4"/>
        <item m="1" x="12"/>
        <item m="1" x="13"/>
        <item x="0"/>
        <item x="10"/>
        <item t="default"/>
      </items>
    </pivotField>
    <pivotField axis="axisPage" multipleItemSelectionAllowed="1" showAll="0">
      <items count="9">
        <item x="4"/>
        <item x="0"/>
        <item x="3"/>
        <item x="1"/>
        <item x="2"/>
        <item x="5"/>
        <item h="1" x="6"/>
        <item m="1" x="7"/>
        <item t="default"/>
      </items>
    </pivotField>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s>
  <rowFields count="2">
    <field x="0"/>
    <field x="3"/>
  </rowFields>
  <rowItems count="24">
    <i>
      <x v="4"/>
    </i>
    <i r="1">
      <x v="1"/>
    </i>
    <i r="1">
      <x v="5"/>
    </i>
    <i r="1">
      <x v="6"/>
    </i>
    <i r="1">
      <x v="9"/>
    </i>
    <i r="1">
      <x v="12"/>
    </i>
    <i>
      <x v="5"/>
    </i>
    <i r="1">
      <x/>
    </i>
    <i r="1">
      <x v="2"/>
    </i>
    <i r="1">
      <x v="3"/>
    </i>
    <i r="1">
      <x v="4"/>
    </i>
    <i r="1">
      <x v="5"/>
    </i>
    <i r="1">
      <x v="8"/>
    </i>
    <i r="1">
      <x v="12"/>
    </i>
    <i>
      <x v="6"/>
    </i>
    <i r="1">
      <x v="4"/>
    </i>
    <i r="1">
      <x v="9"/>
    </i>
    <i r="1">
      <x v="12"/>
    </i>
    <i>
      <x v="7"/>
    </i>
    <i r="1">
      <x v="7"/>
    </i>
    <i r="1">
      <x v="8"/>
    </i>
    <i r="1">
      <x v="9"/>
    </i>
    <i r="1">
      <x v="12"/>
    </i>
    <i t="grand">
      <x/>
    </i>
  </rowItems>
  <colFields count="1">
    <field x="-2"/>
  </colFields>
  <colItems count="3">
    <i>
      <x/>
    </i>
    <i i="1">
      <x v="1"/>
    </i>
    <i i="2">
      <x v="2"/>
    </i>
  </colItems>
  <pageFields count="1">
    <pageField fld="4" hier="-1"/>
  </pageFields>
  <dataFields count="3">
    <dataField name="Sum of No. of Households/Units" fld="13" baseField="0" baseItem="0"/>
    <dataField name="Sum of Residents" fld="15" baseField="0" baseItem="0"/>
    <dataField name="Count of Closest Main Road" fld="3" subtotal="count" baseField="0" baseItem="0"/>
  </dataFields>
  <formats count="2">
    <format dxfId="4">
      <pivotArea outline="0" collapsedLevelsAreSubtotals="1" fieldPosition="0"/>
    </format>
    <format dxfId="3">
      <pivotArea dataOnly="0" labelOnly="1" outline="0" fieldPosition="0">
        <references count="1">
          <reference field="4294967294" count="2">
            <x v="0"/>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T30" firstHeaderRow="1" firstDataRow="2" firstDataCol="1"/>
  <pivotFields count="19">
    <pivotField axis="axisRow" showAll="0">
      <items count="9">
        <item m="1" x="4"/>
        <item m="1" x="6"/>
        <item m="1" x="7"/>
        <item m="1" x="5"/>
        <item x="0"/>
        <item x="1"/>
        <item x="2"/>
        <item x="3"/>
        <item t="default"/>
      </items>
    </pivotField>
    <pivotField showAll="0"/>
    <pivotField showAll="0"/>
    <pivotField showAll="0"/>
    <pivotField axis="axisRow" multipleItemSelectionAllowed="1" showAll="0">
      <items count="9">
        <item x="0"/>
        <item x="3"/>
        <item x="2"/>
        <item x="4"/>
        <item x="5"/>
        <item x="1"/>
        <item h="1" x="6"/>
        <item m="1" x="7"/>
        <item t="default"/>
      </items>
    </pivotField>
    <pivotField axis="axisCol" showAll="0">
      <items count="20">
        <item m="1" x="18"/>
        <item x="0"/>
        <item x="1"/>
        <item x="2"/>
        <item x="11"/>
        <item x="9"/>
        <item x="15"/>
        <item x="12"/>
        <item x="5"/>
        <item x="4"/>
        <item x="8"/>
        <item x="7"/>
        <item x="3"/>
        <item x="6"/>
        <item x="10"/>
        <item x="14"/>
        <item x="17"/>
        <item x="13"/>
        <item x="1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s>
  <rowFields count="2">
    <field x="4"/>
    <field x="0"/>
  </rowFields>
  <rowItems count="26">
    <i>
      <x/>
    </i>
    <i r="1">
      <x v="4"/>
    </i>
    <i r="1">
      <x v="5"/>
    </i>
    <i r="1">
      <x v="6"/>
    </i>
    <i r="1">
      <x v="7"/>
    </i>
    <i>
      <x v="1"/>
    </i>
    <i r="1">
      <x v="4"/>
    </i>
    <i r="1">
      <x v="5"/>
    </i>
    <i r="1">
      <x v="6"/>
    </i>
    <i r="1">
      <x v="7"/>
    </i>
    <i>
      <x v="2"/>
    </i>
    <i r="1">
      <x v="4"/>
    </i>
    <i r="1">
      <x v="5"/>
    </i>
    <i>
      <x v="3"/>
    </i>
    <i r="1">
      <x v="4"/>
    </i>
    <i r="1">
      <x v="5"/>
    </i>
    <i r="1">
      <x v="6"/>
    </i>
    <i>
      <x v="4"/>
    </i>
    <i r="1">
      <x v="4"/>
    </i>
    <i r="1">
      <x v="5"/>
    </i>
    <i r="1">
      <x v="7"/>
    </i>
    <i>
      <x v="5"/>
    </i>
    <i r="1">
      <x v="4"/>
    </i>
    <i r="1">
      <x v="5"/>
    </i>
    <i r="1">
      <x v="6"/>
    </i>
    <i t="grand">
      <x/>
    </i>
  </rowItems>
  <colFields count="1">
    <field x="5"/>
  </colFields>
  <colItems count="19">
    <i>
      <x v="1"/>
    </i>
    <i>
      <x v="2"/>
    </i>
    <i>
      <x v="3"/>
    </i>
    <i>
      <x v="4"/>
    </i>
    <i>
      <x v="5"/>
    </i>
    <i>
      <x v="6"/>
    </i>
    <i>
      <x v="7"/>
    </i>
    <i>
      <x v="8"/>
    </i>
    <i>
      <x v="9"/>
    </i>
    <i>
      <x v="10"/>
    </i>
    <i>
      <x v="11"/>
    </i>
    <i>
      <x v="12"/>
    </i>
    <i>
      <x v="13"/>
    </i>
    <i>
      <x v="14"/>
    </i>
    <i>
      <x v="15"/>
    </i>
    <i>
      <x v="16"/>
    </i>
    <i>
      <x v="17"/>
    </i>
    <i>
      <x v="18"/>
    </i>
    <i t="grand">
      <x/>
    </i>
  </colItems>
  <dataFields count="1">
    <dataField name="Sum of Children Aged 0-15" fld="16" baseField="0" baseItem="0"/>
  </dataFields>
  <formats count="1">
    <format dxfId="2">
      <pivotArea outline="0" collapsedLevelsAreSubtotals="1"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D27" firstHeaderRow="0" firstDataRow="1" firstDataCol="1" rowPageCount="1" colPageCount="1"/>
  <pivotFields count="19">
    <pivotField axis="axisRow" showAll="0">
      <items count="9">
        <item m="1" x="4"/>
        <item m="1" x="6"/>
        <item m="1" x="7"/>
        <item m="1" x="5"/>
        <item x="0"/>
        <item x="1"/>
        <item x="2"/>
        <item x="3"/>
        <item t="default"/>
      </items>
    </pivotField>
    <pivotField showAll="0"/>
    <pivotField showAll="0"/>
    <pivotField axis="axisRow" dataField="1" showAll="0">
      <items count="15">
        <item x="5"/>
        <item x="3"/>
        <item x="6"/>
        <item x="8"/>
        <item x="9"/>
        <item x="1"/>
        <item x="2"/>
        <item x="11"/>
        <item x="7"/>
        <item x="4"/>
        <item m="1" x="12"/>
        <item m="1" x="13"/>
        <item x="0"/>
        <item x="10"/>
        <item t="default"/>
      </items>
    </pivotField>
    <pivotField axis="axisPage" multipleItemSelectionAllowed="1" showAll="0">
      <items count="9">
        <item x="4"/>
        <item x="0"/>
        <item x="3"/>
        <item x="1"/>
        <item x="2"/>
        <item x="5"/>
        <item h="1" x="6"/>
        <item m="1" x="7"/>
        <item t="default"/>
      </items>
    </pivotField>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s>
  <rowFields count="2">
    <field x="0"/>
    <field x="3"/>
  </rowFields>
  <rowItems count="24">
    <i>
      <x v="4"/>
    </i>
    <i r="1">
      <x v="1"/>
    </i>
    <i r="1">
      <x v="5"/>
    </i>
    <i r="1">
      <x v="6"/>
    </i>
    <i r="1">
      <x v="9"/>
    </i>
    <i r="1">
      <x v="12"/>
    </i>
    <i>
      <x v="5"/>
    </i>
    <i r="1">
      <x/>
    </i>
    <i r="1">
      <x v="2"/>
    </i>
    <i r="1">
      <x v="3"/>
    </i>
    <i r="1">
      <x v="4"/>
    </i>
    <i r="1">
      <x v="5"/>
    </i>
    <i r="1">
      <x v="8"/>
    </i>
    <i r="1">
      <x v="12"/>
    </i>
    <i>
      <x v="6"/>
    </i>
    <i r="1">
      <x v="4"/>
    </i>
    <i r="1">
      <x v="9"/>
    </i>
    <i r="1">
      <x v="12"/>
    </i>
    <i>
      <x v="7"/>
    </i>
    <i r="1">
      <x v="7"/>
    </i>
    <i r="1">
      <x v="8"/>
    </i>
    <i r="1">
      <x v="9"/>
    </i>
    <i r="1">
      <x v="12"/>
    </i>
    <i t="grand">
      <x/>
    </i>
  </rowItems>
  <colFields count="1">
    <field x="-2"/>
  </colFields>
  <colItems count="3">
    <i>
      <x/>
    </i>
    <i i="1">
      <x v="1"/>
    </i>
    <i i="2">
      <x v="2"/>
    </i>
  </colItems>
  <pageFields count="1">
    <pageField fld="4" hier="-1"/>
  </pageFields>
  <dataFields count="3">
    <dataField name="Sum of No. of Households/Units" fld="13" baseField="0" baseItem="0"/>
    <dataField name="Sum of Residents" fld="15" baseField="0" baseItem="0"/>
    <dataField name="Count of Closest Main Road" fld="3" subtotal="count" baseField="0" baseItem="0"/>
  </dataFields>
  <formats count="2">
    <format dxfId="1">
      <pivotArea outline="0" collapsedLevelsAreSubtotals="1" fieldPosition="0"/>
    </format>
    <format dxfId="0">
      <pivotArea dataOnly="0" labelOnly="1" outline="0" fieldPosition="0">
        <references count="1">
          <reference field="4294967294" count="2">
            <x v="0"/>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newlondonarchitecture.org/news/2014/march/independent-study-reveals-over-230-new-towers-planned-for-london-skyline" TargetMode="External"/><Relationship Id="rId2" Type="http://schemas.openxmlformats.org/officeDocument/2006/relationships/hyperlink" Target="http://www.theguardian.com/news/datablog/2014/mar/13/the-ever-changing-story-of-londons-skyline?view=desktop"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moderngov.towerhamlets.gov.uk/ieListDocuments.aspx?CId=360&amp;MId=5803&amp;Ver=4"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L190"/>
  <sheetViews>
    <sheetView showGridLines="0" workbookViewId="0">
      <pane ySplit="8" topLeftCell="A11" activePane="bottomLeft" state="frozenSplit"/>
      <selection activeCell="E30" sqref="E30"/>
      <selection pane="bottomLeft" activeCell="G24" sqref="G24"/>
    </sheetView>
  </sheetViews>
  <sheetFormatPr baseColWidth="10" defaultRowHeight="16" outlineLevelRow="1" x14ac:dyDescent="0.2"/>
  <cols>
    <col min="1" max="2" width="2.83203125" customWidth="1"/>
    <col min="3" max="3" width="46.6640625" customWidth="1"/>
    <col min="4" max="4" width="38.1640625" customWidth="1"/>
    <col min="5" max="5" width="5.1640625" customWidth="1"/>
    <col min="6" max="6" width="10.6640625" style="43" customWidth="1"/>
    <col min="7" max="8" width="9.83203125" customWidth="1"/>
    <col min="9" max="9" width="10.83203125" style="43" customWidth="1"/>
    <col min="10" max="10" width="18.5" customWidth="1"/>
    <col min="13" max="13" width="25.6640625" style="43" customWidth="1"/>
    <col min="14" max="14" width="29.83203125" style="268" customWidth="1"/>
    <col min="15" max="16" width="29.83203125" style="43" customWidth="1"/>
    <col min="17" max="17" width="17.5" style="364" customWidth="1"/>
    <col min="18" max="18" width="10.83203125" style="364"/>
    <col min="19" max="21" width="10.83203125" style="43"/>
    <col min="22" max="23" width="10.83203125" style="30"/>
    <col min="24" max="51" width="10.83203125" style="43"/>
    <col min="52" max="54" width="10.83203125" style="30"/>
    <col min="55" max="56" width="10.83203125" style="43"/>
    <col min="57" max="57" width="11.33203125" style="372" bestFit="1" customWidth="1"/>
    <col min="58" max="58" width="10.83203125" style="372"/>
    <col min="59" max="64" width="10.83203125" style="43"/>
  </cols>
  <sheetData>
    <row r="1" spans="1:64" ht="24" x14ac:dyDescent="0.3">
      <c r="A1" s="119" t="s">
        <v>1303</v>
      </c>
    </row>
    <row r="2" spans="1:64" x14ac:dyDescent="0.2">
      <c r="A2" s="33" t="s">
        <v>432</v>
      </c>
    </row>
    <row r="3" spans="1:64" x14ac:dyDescent="0.2">
      <c r="F3"/>
      <c r="I3"/>
    </row>
    <row r="4" spans="1:64" x14ac:dyDescent="0.2">
      <c r="F4"/>
      <c r="I4"/>
    </row>
    <row r="5" spans="1:64" x14ac:dyDescent="0.2">
      <c r="F5"/>
      <c r="I5"/>
    </row>
    <row r="6" spans="1:64" x14ac:dyDescent="0.2">
      <c r="F6"/>
      <c r="I6"/>
    </row>
    <row r="7" spans="1:64" ht="49" x14ac:dyDescent="0.25">
      <c r="A7" s="49" t="s">
        <v>186</v>
      </c>
      <c r="AE7" s="363" t="s">
        <v>1444</v>
      </c>
      <c r="AF7" s="363" t="s">
        <v>1444</v>
      </c>
      <c r="AG7" s="363" t="s">
        <v>1444</v>
      </c>
      <c r="AH7" s="363" t="s">
        <v>1444</v>
      </c>
      <c r="AI7" s="363" t="s">
        <v>1444</v>
      </c>
      <c r="AJ7" s="363" t="s">
        <v>1444</v>
      </c>
      <c r="AK7" s="363" t="s">
        <v>1444</v>
      </c>
      <c r="AL7" s="363" t="s">
        <v>1443</v>
      </c>
      <c r="AM7" s="363" t="s">
        <v>1443</v>
      </c>
      <c r="AN7" s="363" t="s">
        <v>1443</v>
      </c>
      <c r="AO7" s="363" t="s">
        <v>1443</v>
      </c>
      <c r="AP7" s="363" t="s">
        <v>1443</v>
      </c>
      <c r="AQ7" s="363" t="s">
        <v>1443</v>
      </c>
      <c r="AR7" s="363" t="s">
        <v>1443</v>
      </c>
      <c r="AS7" s="363" t="s">
        <v>1442</v>
      </c>
      <c r="AT7" s="363" t="s">
        <v>1442</v>
      </c>
      <c r="AU7" s="363" t="s">
        <v>1442</v>
      </c>
      <c r="AV7" s="363" t="s">
        <v>1442</v>
      </c>
      <c r="AW7" s="363" t="s">
        <v>1442</v>
      </c>
      <c r="AX7" s="363" t="s">
        <v>1442</v>
      </c>
      <c r="AY7" s="363" t="s">
        <v>1442</v>
      </c>
    </row>
    <row r="8" spans="1:64" ht="81" thickBot="1" x14ac:dyDescent="0.3">
      <c r="A8" s="51"/>
      <c r="B8" s="41"/>
      <c r="D8" s="38" t="s">
        <v>431</v>
      </c>
      <c r="E8" s="38" t="s">
        <v>1342</v>
      </c>
      <c r="F8" s="38" t="s">
        <v>430</v>
      </c>
      <c r="G8" s="38" t="s">
        <v>208</v>
      </c>
      <c r="H8" s="38" t="s">
        <v>510</v>
      </c>
      <c r="I8" s="38" t="s">
        <v>211</v>
      </c>
      <c r="J8" s="38" t="s">
        <v>512</v>
      </c>
      <c r="M8" s="348" t="s">
        <v>1489</v>
      </c>
      <c r="N8" s="348" t="s">
        <v>1488</v>
      </c>
      <c r="O8" s="348" t="s">
        <v>1487</v>
      </c>
      <c r="P8" s="348" t="s">
        <v>188</v>
      </c>
      <c r="Q8" s="365" t="s">
        <v>1486</v>
      </c>
      <c r="R8" s="365" t="s">
        <v>1485</v>
      </c>
      <c r="S8" s="348" t="s">
        <v>1484</v>
      </c>
      <c r="T8" s="348" t="s">
        <v>1483</v>
      </c>
      <c r="U8" s="348" t="s">
        <v>1408</v>
      </c>
      <c r="V8" s="370" t="s">
        <v>1482</v>
      </c>
      <c r="W8" s="370" t="s">
        <v>1481</v>
      </c>
      <c r="X8" s="348" t="s">
        <v>1256</v>
      </c>
      <c r="Y8" s="348" t="s">
        <v>1480</v>
      </c>
      <c r="Z8" s="348" t="s">
        <v>1479</v>
      </c>
      <c r="AA8" s="348" t="s">
        <v>1478</v>
      </c>
      <c r="AB8" s="348" t="s">
        <v>1477</v>
      </c>
      <c r="AC8" s="348" t="s">
        <v>1476</v>
      </c>
      <c r="AD8" s="348" t="s">
        <v>1497</v>
      </c>
      <c r="AE8" s="348" t="s">
        <v>1474</v>
      </c>
      <c r="AF8" s="348" t="s">
        <v>1473</v>
      </c>
      <c r="AG8" s="348" t="s">
        <v>1472</v>
      </c>
      <c r="AH8" s="348" t="s">
        <v>1471</v>
      </c>
      <c r="AI8" s="348" t="s">
        <v>1470</v>
      </c>
      <c r="AJ8" s="348" t="s">
        <v>1469</v>
      </c>
      <c r="AK8" s="348" t="s">
        <v>238</v>
      </c>
      <c r="AL8" s="348" t="s">
        <v>1474</v>
      </c>
      <c r="AM8" s="348" t="s">
        <v>1473</v>
      </c>
      <c r="AN8" s="348" t="s">
        <v>1472</v>
      </c>
      <c r="AO8" s="348" t="s">
        <v>1471</v>
      </c>
      <c r="AP8" s="348" t="s">
        <v>1470</v>
      </c>
      <c r="AQ8" s="348" t="s">
        <v>1469</v>
      </c>
      <c r="AR8" s="348" t="s">
        <v>238</v>
      </c>
      <c r="AS8" s="348" t="s">
        <v>1474</v>
      </c>
      <c r="AT8" s="348" t="s">
        <v>1473</v>
      </c>
      <c r="AU8" s="348" t="s">
        <v>1472</v>
      </c>
      <c r="AV8" s="348" t="s">
        <v>1471</v>
      </c>
      <c r="AW8" s="348" t="s">
        <v>1470</v>
      </c>
      <c r="AX8" s="348" t="s">
        <v>1469</v>
      </c>
      <c r="AY8" s="348" t="s">
        <v>238</v>
      </c>
      <c r="AZ8" s="370" t="s">
        <v>1468</v>
      </c>
      <c r="BA8" s="370" t="s">
        <v>1467</v>
      </c>
      <c r="BB8" s="370" t="s">
        <v>1466</v>
      </c>
      <c r="BC8" s="348" t="s">
        <v>1465</v>
      </c>
      <c r="BD8" s="348" t="s">
        <v>1464</v>
      </c>
      <c r="BE8" s="373" t="s">
        <v>1498</v>
      </c>
      <c r="BF8" s="373" t="s">
        <v>1462</v>
      </c>
      <c r="BG8" s="377" t="s">
        <v>512</v>
      </c>
      <c r="BH8" s="377" t="s">
        <v>578</v>
      </c>
      <c r="BI8" s="377" t="s">
        <v>1461</v>
      </c>
      <c r="BJ8" s="348" t="s">
        <v>1460</v>
      </c>
      <c r="BK8" s="377" t="s">
        <v>1499</v>
      </c>
      <c r="BL8" s="377" t="s">
        <v>1458</v>
      </c>
    </row>
    <row r="9" spans="1:64" s="39" customFormat="1" ht="6" customHeight="1" x14ac:dyDescent="0.25">
      <c r="A9" s="52"/>
      <c r="B9" s="42"/>
      <c r="F9" s="242"/>
      <c r="I9" s="40"/>
      <c r="M9" s="242"/>
      <c r="N9" s="361"/>
      <c r="O9" s="242"/>
      <c r="P9" s="242"/>
      <c r="Q9" s="366"/>
      <c r="R9" s="366"/>
      <c r="S9" s="242"/>
      <c r="T9" s="242"/>
      <c r="U9" s="242"/>
      <c r="V9" s="371"/>
      <c r="W9" s="371"/>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371"/>
      <c r="BA9" s="371"/>
      <c r="BB9" s="371"/>
      <c r="BC9" s="242"/>
      <c r="BD9" s="242"/>
      <c r="BE9" s="374"/>
      <c r="BF9" s="374"/>
      <c r="BG9" s="242"/>
      <c r="BH9" s="242"/>
      <c r="BI9" s="242"/>
      <c r="BJ9" s="242"/>
      <c r="BK9" s="242"/>
      <c r="BL9" s="242"/>
    </row>
    <row r="10" spans="1:64" s="56" customFormat="1" ht="29" customHeight="1" outlineLevel="1" x14ac:dyDescent="0.2">
      <c r="A10" s="54"/>
      <c r="B10" s="120" t="s">
        <v>204</v>
      </c>
      <c r="F10" s="57"/>
      <c r="H10" s="191"/>
      <c r="I10" s="121">
        <v>6166</v>
      </c>
      <c r="M10" s="57"/>
      <c r="N10" s="362"/>
      <c r="O10" s="57"/>
      <c r="P10" s="57"/>
      <c r="Q10" s="367"/>
      <c r="R10" s="367"/>
      <c r="S10" s="57"/>
      <c r="T10" s="57"/>
      <c r="U10" s="57"/>
      <c r="V10" s="275"/>
      <c r="W10" s="275"/>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275"/>
      <c r="BA10" s="275"/>
      <c r="BB10" s="275"/>
      <c r="BC10" s="57"/>
      <c r="BD10" s="57"/>
      <c r="BE10" s="375"/>
      <c r="BF10" s="375"/>
      <c r="BG10" s="57"/>
      <c r="BH10" s="57"/>
      <c r="BI10" s="57"/>
      <c r="BJ10" s="57"/>
      <c r="BK10" s="57"/>
      <c r="BL10" s="57"/>
    </row>
    <row r="11" spans="1:64" ht="6" customHeight="1" outlineLevel="1" x14ac:dyDescent="0.25">
      <c r="A11" s="51"/>
      <c r="B11" s="41"/>
      <c r="H11" s="60"/>
      <c r="I11" s="30"/>
      <c r="J11" s="39"/>
      <c r="K11" s="39"/>
      <c r="L11" s="39"/>
      <c r="M11" s="242"/>
      <c r="N11" s="361"/>
    </row>
    <row r="12" spans="1:64" ht="21" outlineLevel="1" x14ac:dyDescent="0.25">
      <c r="A12" s="51"/>
      <c r="B12" s="32" t="s">
        <v>187</v>
      </c>
      <c r="H12" s="60"/>
      <c r="I12" s="30"/>
      <c r="J12" s="56"/>
      <c r="K12" s="56"/>
      <c r="L12" s="56"/>
      <c r="M12" s="57"/>
      <c r="N12" s="362"/>
    </row>
    <row r="13" spans="1:64" ht="21" outlineLevel="1" x14ac:dyDescent="0.25">
      <c r="A13" s="51"/>
      <c r="B13" s="32"/>
      <c r="C13" t="s">
        <v>530</v>
      </c>
      <c r="D13" t="s">
        <v>467</v>
      </c>
      <c r="E13" t="s">
        <v>1119</v>
      </c>
      <c r="H13" s="60"/>
      <c r="I13" s="30">
        <v>56</v>
      </c>
      <c r="J13" s="39"/>
      <c r="K13" s="56"/>
      <c r="L13" s="39"/>
      <c r="M13" s="242"/>
      <c r="N13" s="361"/>
    </row>
    <row r="14" spans="1:64" ht="21" outlineLevel="1" x14ac:dyDescent="0.25">
      <c r="A14" s="51"/>
      <c r="B14" s="32"/>
      <c r="C14" t="s">
        <v>469</v>
      </c>
      <c r="D14" t="s">
        <v>471</v>
      </c>
      <c r="E14" t="s">
        <v>1119</v>
      </c>
      <c r="F14" s="43" t="s">
        <v>574</v>
      </c>
      <c r="G14" s="43">
        <v>48</v>
      </c>
      <c r="H14" s="30"/>
      <c r="I14" s="30">
        <f>430+356</f>
        <v>786</v>
      </c>
      <c r="J14" s="56"/>
      <c r="K14" s="56"/>
      <c r="L14" s="56"/>
      <c r="M14" s="57"/>
      <c r="N14" s="362"/>
    </row>
    <row r="15" spans="1:64" ht="21" outlineLevel="1" x14ac:dyDescent="0.25">
      <c r="A15" s="51"/>
      <c r="B15" s="32"/>
      <c r="C15" t="s">
        <v>470</v>
      </c>
      <c r="D15" t="s">
        <v>468</v>
      </c>
      <c r="E15" t="s">
        <v>1119</v>
      </c>
      <c r="F15" s="43" t="s">
        <v>573</v>
      </c>
      <c r="G15" s="43">
        <v>45</v>
      </c>
      <c r="H15" s="30"/>
      <c r="I15" s="30">
        <v>804</v>
      </c>
      <c r="J15" s="39"/>
      <c r="K15" s="56"/>
      <c r="L15" s="39"/>
      <c r="M15" s="242"/>
      <c r="N15" s="361"/>
    </row>
    <row r="16" spans="1:64" ht="21" outlineLevel="1" x14ac:dyDescent="0.25">
      <c r="A16" s="51"/>
      <c r="B16" s="32"/>
      <c r="C16" t="s">
        <v>1297</v>
      </c>
      <c r="D16" t="s">
        <v>1301</v>
      </c>
      <c r="E16" t="s">
        <v>1119</v>
      </c>
      <c r="H16" s="60"/>
      <c r="I16" s="30">
        <v>300</v>
      </c>
      <c r="J16" s="56"/>
      <c r="K16" s="193"/>
      <c r="L16" s="56"/>
      <c r="M16" s="57"/>
      <c r="N16" s="362"/>
    </row>
    <row r="17" spans="1:64" ht="6" customHeight="1" outlineLevel="1" x14ac:dyDescent="0.25">
      <c r="A17" s="51"/>
      <c r="B17" s="32"/>
      <c r="H17" s="60"/>
      <c r="I17" s="30"/>
      <c r="J17" s="39"/>
      <c r="K17" s="56"/>
      <c r="L17" s="39"/>
      <c r="M17" s="242"/>
      <c r="N17" s="361"/>
    </row>
    <row r="18" spans="1:64" s="56" customFormat="1" ht="21" outlineLevel="1" x14ac:dyDescent="0.2">
      <c r="A18" s="54"/>
      <c r="B18" s="67" t="s">
        <v>215</v>
      </c>
      <c r="C18" s="55"/>
      <c r="D18" s="55"/>
      <c r="E18" s="55"/>
      <c r="F18" s="243"/>
      <c r="H18" s="156"/>
      <c r="I18" s="156"/>
      <c r="M18" s="57"/>
      <c r="N18" s="362"/>
      <c r="O18" s="57"/>
      <c r="P18" s="57"/>
      <c r="Q18" s="367"/>
      <c r="R18" s="367"/>
      <c r="S18" s="57"/>
      <c r="T18" s="57"/>
      <c r="U18" s="57"/>
      <c r="V18" s="275"/>
      <c r="W18" s="275"/>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275"/>
      <c r="BA18" s="275"/>
      <c r="BB18" s="275"/>
      <c r="BC18" s="57"/>
      <c r="BD18" s="57"/>
      <c r="BE18" s="375"/>
      <c r="BF18" s="375"/>
      <c r="BG18" s="57"/>
      <c r="BH18" s="57"/>
      <c r="BI18" s="57"/>
      <c r="BJ18" s="57"/>
      <c r="BK18" s="57"/>
      <c r="BL18" s="57"/>
    </row>
    <row r="19" spans="1:64" ht="16" customHeight="1" outlineLevel="1" x14ac:dyDescent="0.25">
      <c r="A19" s="51"/>
      <c r="B19" s="32"/>
      <c r="C19" s="175" t="s">
        <v>296</v>
      </c>
      <c r="D19" t="s">
        <v>1298</v>
      </c>
      <c r="G19" s="43">
        <v>44</v>
      </c>
      <c r="H19" s="30">
        <v>1875</v>
      </c>
      <c r="I19" s="30">
        <v>1500</v>
      </c>
      <c r="J19" s="39" t="s">
        <v>511</v>
      </c>
      <c r="K19" s="56"/>
      <c r="L19" s="311"/>
      <c r="M19" s="242" t="s">
        <v>1427</v>
      </c>
      <c r="N19" s="361" t="s">
        <v>1496</v>
      </c>
      <c r="O19" s="43" t="s">
        <v>1426</v>
      </c>
      <c r="P19" s="43" t="s">
        <v>24</v>
      </c>
      <c r="Q19" s="364">
        <v>42159</v>
      </c>
      <c r="R19" s="364">
        <v>42206</v>
      </c>
      <c r="S19" s="43" t="s">
        <v>1425</v>
      </c>
      <c r="T19" s="43" t="s">
        <v>1424</v>
      </c>
      <c r="U19" s="43">
        <v>2.6</v>
      </c>
      <c r="V19" s="30">
        <v>645</v>
      </c>
      <c r="W19" s="30">
        <v>1785</v>
      </c>
      <c r="X19" s="43" t="s">
        <v>1423</v>
      </c>
      <c r="Y19" s="43">
        <v>507</v>
      </c>
      <c r="Z19" s="43">
        <v>450</v>
      </c>
      <c r="AA19" s="43">
        <v>178</v>
      </c>
      <c r="AB19" s="43">
        <v>183</v>
      </c>
      <c r="AC19" s="43">
        <v>89</v>
      </c>
      <c r="AD19" s="43">
        <v>5068</v>
      </c>
      <c r="AE19" s="43">
        <v>153</v>
      </c>
      <c r="AF19" s="43">
        <v>367</v>
      </c>
      <c r="AG19" s="43">
        <v>471</v>
      </c>
      <c r="AH19" s="43">
        <v>181</v>
      </c>
      <c r="AI19" s="43">
        <v>3</v>
      </c>
      <c r="AJ19" s="43">
        <v>0</v>
      </c>
      <c r="AK19" s="43">
        <v>1175</v>
      </c>
      <c r="AL19" s="43">
        <v>0</v>
      </c>
      <c r="AM19" s="43">
        <v>32</v>
      </c>
      <c r="AN19" s="43">
        <v>52</v>
      </c>
      <c r="AO19" s="43">
        <v>146</v>
      </c>
      <c r="AP19" s="43">
        <v>10</v>
      </c>
      <c r="AQ19" s="43">
        <v>0</v>
      </c>
      <c r="AR19" s="43">
        <v>240</v>
      </c>
      <c r="AS19" s="43">
        <v>1</v>
      </c>
      <c r="AT19" s="43">
        <v>23</v>
      </c>
      <c r="AU19" s="43">
        <v>42</v>
      </c>
      <c r="AV19" s="43">
        <v>19</v>
      </c>
      <c r="AW19" s="43">
        <v>0</v>
      </c>
      <c r="AX19" s="43">
        <v>0</v>
      </c>
      <c r="AY19" s="43">
        <v>85</v>
      </c>
      <c r="AZ19" s="30">
        <v>1500</v>
      </c>
      <c r="BA19" s="30">
        <v>244</v>
      </c>
      <c r="BB19" s="30">
        <v>3304</v>
      </c>
      <c r="BC19" s="43">
        <v>146.6</v>
      </c>
      <c r="BD19" s="43">
        <v>45</v>
      </c>
      <c r="BE19" s="372">
        <v>890325</v>
      </c>
      <c r="BJ19" s="65" t="s">
        <v>1429</v>
      </c>
    </row>
    <row r="20" spans="1:64" ht="16" customHeight="1" outlineLevel="1" x14ac:dyDescent="0.25">
      <c r="A20" s="51"/>
      <c r="B20" s="31"/>
      <c r="C20" t="s">
        <v>1263</v>
      </c>
      <c r="D20" t="s">
        <v>465</v>
      </c>
      <c r="G20" s="43" t="s">
        <v>11</v>
      </c>
      <c r="H20" s="153"/>
      <c r="I20" s="30">
        <f>3467-769</f>
        <v>2698</v>
      </c>
      <c r="J20" t="s">
        <v>1299</v>
      </c>
      <c r="L20" s="311"/>
    </row>
    <row r="21" spans="1:64" ht="16" customHeight="1" outlineLevel="1" x14ac:dyDescent="0.25">
      <c r="A21" s="51"/>
      <c r="B21" s="32"/>
      <c r="C21" s="175" t="s">
        <v>434</v>
      </c>
      <c r="D21" t="s">
        <v>1306</v>
      </c>
      <c r="E21" t="s">
        <v>1119</v>
      </c>
      <c r="F21" s="43" t="s">
        <v>493</v>
      </c>
      <c r="G21" s="43">
        <v>75</v>
      </c>
      <c r="H21" s="30">
        <v>5803</v>
      </c>
      <c r="I21" s="30">
        <v>984</v>
      </c>
      <c r="J21" s="56" t="s">
        <v>516</v>
      </c>
      <c r="K21" s="56"/>
      <c r="L21" s="311"/>
      <c r="M21" s="57"/>
      <c r="N21" s="362"/>
    </row>
    <row r="22" spans="1:64" ht="16" customHeight="1" outlineLevel="1" x14ac:dyDescent="0.25">
      <c r="A22" s="51"/>
      <c r="B22" s="32"/>
      <c r="C22" s="37" t="s">
        <v>302</v>
      </c>
      <c r="D22" s="173" t="s">
        <v>1307</v>
      </c>
      <c r="E22" s="173"/>
      <c r="F22" s="63" t="s">
        <v>492</v>
      </c>
      <c r="G22" s="63">
        <v>67</v>
      </c>
      <c r="H22" s="183"/>
      <c r="I22" s="45">
        <v>900</v>
      </c>
      <c r="J22" s="56" t="s">
        <v>1124</v>
      </c>
      <c r="K22" s="56"/>
      <c r="L22" s="311"/>
      <c r="M22" s="57"/>
      <c r="N22" s="362"/>
    </row>
    <row r="23" spans="1:64" ht="16" customHeight="1" outlineLevel="1" x14ac:dyDescent="0.25">
      <c r="A23" s="51"/>
      <c r="B23" s="32"/>
      <c r="C23" s="175" t="s">
        <v>298</v>
      </c>
      <c r="D23" t="s">
        <v>1276</v>
      </c>
      <c r="E23" t="s">
        <v>1119</v>
      </c>
      <c r="F23" s="43" t="s">
        <v>1153</v>
      </c>
      <c r="G23" s="43">
        <v>68</v>
      </c>
      <c r="H23" s="30">
        <v>2140</v>
      </c>
      <c r="I23" s="30">
        <v>888</v>
      </c>
      <c r="J23" s="39" t="s">
        <v>520</v>
      </c>
      <c r="K23" s="56"/>
      <c r="L23" s="311"/>
      <c r="M23" s="242"/>
      <c r="N23" s="361"/>
    </row>
    <row r="24" spans="1:64" ht="16" customHeight="1" outlineLevel="1" x14ac:dyDescent="0.25">
      <c r="A24" s="51"/>
      <c r="B24" s="32"/>
      <c r="C24" s="175" t="s">
        <v>1378</v>
      </c>
      <c r="D24" t="s">
        <v>1308</v>
      </c>
      <c r="F24" s="43" t="s">
        <v>1267</v>
      </c>
      <c r="G24" s="43" t="s">
        <v>1268</v>
      </c>
      <c r="H24" s="30"/>
      <c r="I24" s="30">
        <v>450</v>
      </c>
      <c r="J24" s="39" t="s">
        <v>520</v>
      </c>
      <c r="K24" s="56"/>
      <c r="L24" s="311"/>
      <c r="M24" s="242"/>
      <c r="N24" s="361"/>
    </row>
    <row r="25" spans="1:64" ht="16" customHeight="1" outlineLevel="1" x14ac:dyDescent="0.25">
      <c r="A25" s="51"/>
      <c r="B25" s="32"/>
      <c r="C25" s="175" t="s">
        <v>178</v>
      </c>
      <c r="D25" t="s">
        <v>1277</v>
      </c>
      <c r="E25" t="s">
        <v>1119</v>
      </c>
      <c r="F25" s="43" t="s">
        <v>526</v>
      </c>
      <c r="G25" s="43">
        <v>42</v>
      </c>
      <c r="H25" s="30">
        <v>2492</v>
      </c>
      <c r="I25" s="30">
        <v>901</v>
      </c>
      <c r="J25" s="56" t="s">
        <v>529</v>
      </c>
      <c r="K25" s="245"/>
      <c r="L25" s="311"/>
      <c r="M25" s="57"/>
      <c r="N25" s="362"/>
    </row>
    <row r="26" spans="1:64" ht="16" customHeight="1" outlineLevel="1" x14ac:dyDescent="0.25">
      <c r="A26" s="51"/>
      <c r="B26" s="32"/>
      <c r="C26" t="s">
        <v>300</v>
      </c>
      <c r="D26" t="s">
        <v>1309</v>
      </c>
      <c r="G26" s="43">
        <v>28</v>
      </c>
      <c r="H26" s="30"/>
      <c r="I26" s="30">
        <v>900</v>
      </c>
      <c r="J26" s="39" t="s">
        <v>517</v>
      </c>
      <c r="K26" s="56"/>
      <c r="L26" s="311"/>
      <c r="M26" s="242"/>
      <c r="N26" s="361"/>
    </row>
    <row r="27" spans="1:64" ht="16" customHeight="1" outlineLevel="1" x14ac:dyDescent="0.25">
      <c r="A27" s="51"/>
      <c r="B27" s="32"/>
      <c r="C27" s="175" t="s">
        <v>301</v>
      </c>
      <c r="D27" s="33" t="s">
        <v>412</v>
      </c>
      <c r="E27" s="33" t="s">
        <v>1119</v>
      </c>
      <c r="F27" s="61" t="s">
        <v>499</v>
      </c>
      <c r="G27" s="61">
        <v>55</v>
      </c>
      <c r="H27" s="34">
        <v>3357</v>
      </c>
      <c r="I27" s="34">
        <v>756</v>
      </c>
      <c r="J27" s="56" t="s">
        <v>519</v>
      </c>
      <c r="K27" s="56"/>
      <c r="L27" s="311"/>
      <c r="M27" s="57"/>
      <c r="N27" s="362"/>
    </row>
    <row r="28" spans="1:64" ht="16" customHeight="1" outlineLevel="1" x14ac:dyDescent="0.25">
      <c r="A28" s="51"/>
      <c r="B28" s="32"/>
      <c r="C28" s="35" t="s">
        <v>435</v>
      </c>
      <c r="D28" s="35" t="s">
        <v>446</v>
      </c>
      <c r="E28" s="35" t="s">
        <v>1119</v>
      </c>
      <c r="F28" s="62" t="s">
        <v>524</v>
      </c>
      <c r="G28" s="62">
        <v>32</v>
      </c>
      <c r="H28" s="36">
        <v>1528</v>
      </c>
      <c r="I28" s="36">
        <v>546</v>
      </c>
      <c r="J28" s="39" t="s">
        <v>511</v>
      </c>
      <c r="K28" s="56"/>
      <c r="L28" s="311"/>
      <c r="M28" s="242"/>
      <c r="N28" s="361"/>
    </row>
    <row r="29" spans="1:64" ht="16" customHeight="1" outlineLevel="1" x14ac:dyDescent="0.25">
      <c r="A29" s="51"/>
      <c r="B29" s="31"/>
      <c r="C29" s="175" t="s">
        <v>1255</v>
      </c>
      <c r="D29" t="s">
        <v>1308</v>
      </c>
      <c r="F29" s="43" t="s">
        <v>1254</v>
      </c>
      <c r="G29" s="43" t="s">
        <v>1253</v>
      </c>
      <c r="H29" s="60"/>
      <c r="I29" s="30">
        <v>500</v>
      </c>
      <c r="J29" t="s">
        <v>518</v>
      </c>
      <c r="L29" s="311"/>
    </row>
    <row r="30" spans="1:64" ht="16" customHeight="1" outlineLevel="1" x14ac:dyDescent="0.25">
      <c r="A30" s="51"/>
      <c r="B30" s="32"/>
      <c r="C30" s="176" t="s">
        <v>1136</v>
      </c>
      <c r="D30" s="37" t="s">
        <v>457</v>
      </c>
      <c r="E30" s="37" t="s">
        <v>1119</v>
      </c>
      <c r="F30" s="63" t="s">
        <v>494</v>
      </c>
      <c r="G30" s="63">
        <v>58</v>
      </c>
      <c r="H30" s="183">
        <v>2738</v>
      </c>
      <c r="I30" s="45">
        <v>575</v>
      </c>
      <c r="J30" s="39" t="s">
        <v>513</v>
      </c>
      <c r="K30" s="56"/>
      <c r="L30" s="39"/>
      <c r="M30" s="242"/>
      <c r="N30" s="361"/>
    </row>
    <row r="31" spans="1:64" ht="16" customHeight="1" outlineLevel="1" x14ac:dyDescent="0.25">
      <c r="A31" s="51"/>
      <c r="B31" s="32"/>
      <c r="C31" s="35" t="s">
        <v>436</v>
      </c>
      <c r="D31" s="126" t="s">
        <v>458</v>
      </c>
      <c r="E31" s="126"/>
      <c r="F31" s="62"/>
      <c r="G31" s="64">
        <v>67</v>
      </c>
      <c r="H31" s="184"/>
      <c r="I31" s="36"/>
      <c r="J31" s="56"/>
      <c r="K31" s="56"/>
      <c r="L31" s="56"/>
      <c r="M31" s="57"/>
      <c r="N31" s="362"/>
    </row>
    <row r="32" spans="1:64" ht="16" customHeight="1" outlineLevel="1" x14ac:dyDescent="0.25">
      <c r="A32" s="51"/>
      <c r="B32" s="32"/>
      <c r="C32" s="177" t="s">
        <v>451</v>
      </c>
      <c r="D32" s="126" t="s">
        <v>1310</v>
      </c>
      <c r="E32" s="126"/>
      <c r="F32" s="62" t="s">
        <v>498</v>
      </c>
      <c r="G32" s="62">
        <v>53</v>
      </c>
      <c r="H32" s="36"/>
      <c r="I32" s="36">
        <v>410</v>
      </c>
      <c r="J32" s="39"/>
      <c r="K32" s="39"/>
      <c r="L32" s="39"/>
      <c r="M32" s="242"/>
      <c r="N32" s="361"/>
    </row>
    <row r="33" spans="1:10" ht="16" customHeight="1" outlineLevel="1" x14ac:dyDescent="0.25">
      <c r="A33" s="51"/>
      <c r="B33" s="32"/>
      <c r="C33" s="177" t="s">
        <v>1311</v>
      </c>
      <c r="D33" s="126" t="s">
        <v>457</v>
      </c>
      <c r="E33" s="126" t="s">
        <v>1119</v>
      </c>
      <c r="F33" s="62" t="s">
        <v>528</v>
      </c>
      <c r="G33" s="62">
        <v>39</v>
      </c>
      <c r="H33" s="36"/>
      <c r="I33" s="36"/>
      <c r="J33" s="39" t="s">
        <v>1329</v>
      </c>
    </row>
    <row r="34" spans="1:10" ht="16" customHeight="1" outlineLevel="1" x14ac:dyDescent="0.25">
      <c r="A34" s="51"/>
      <c r="B34" s="32"/>
      <c r="C34" s="178" t="s">
        <v>437</v>
      </c>
      <c r="D34" s="126" t="s">
        <v>1279</v>
      </c>
      <c r="E34" s="126"/>
      <c r="F34" s="64" t="s">
        <v>1353</v>
      </c>
      <c r="G34" s="62">
        <v>60</v>
      </c>
      <c r="H34" s="36"/>
      <c r="I34" s="36">
        <v>685</v>
      </c>
      <c r="J34" t="s">
        <v>527</v>
      </c>
    </row>
    <row r="35" spans="1:10" ht="16" customHeight="1" outlineLevel="1" x14ac:dyDescent="0.25">
      <c r="A35" s="51"/>
      <c r="B35" s="32"/>
      <c r="C35" s="126" t="s">
        <v>1162</v>
      </c>
      <c r="D35" s="126" t="s">
        <v>460</v>
      </c>
      <c r="E35" s="126"/>
      <c r="F35" s="64" t="s">
        <v>1161</v>
      </c>
      <c r="G35" s="62">
        <v>45</v>
      </c>
      <c r="H35" s="36"/>
      <c r="I35" s="36">
        <v>484</v>
      </c>
      <c r="J35" t="s">
        <v>514</v>
      </c>
    </row>
    <row r="36" spans="1:10" ht="16" customHeight="1" outlineLevel="1" x14ac:dyDescent="0.25">
      <c r="A36" s="51"/>
      <c r="B36" s="32"/>
      <c r="C36" s="175" t="s">
        <v>1152</v>
      </c>
      <c r="D36" s="126" t="s">
        <v>460</v>
      </c>
      <c r="E36" s="126"/>
      <c r="G36" s="43">
        <v>39</v>
      </c>
      <c r="H36" s="30"/>
      <c r="I36" s="30">
        <v>275</v>
      </c>
    </row>
    <row r="37" spans="1:10" ht="16" customHeight="1" outlineLevel="1" x14ac:dyDescent="0.25">
      <c r="A37" s="51"/>
      <c r="B37" s="31"/>
      <c r="C37" s="175" t="s">
        <v>1335</v>
      </c>
      <c r="D37" t="s">
        <v>1262</v>
      </c>
      <c r="H37" s="60"/>
      <c r="I37" s="30">
        <v>206</v>
      </c>
    </row>
    <row r="38" spans="1:10" ht="16" customHeight="1" outlineLevel="1" x14ac:dyDescent="0.25">
      <c r="A38" s="51"/>
      <c r="B38" s="32"/>
      <c r="C38" t="s">
        <v>461</v>
      </c>
      <c r="D38" s="126" t="s">
        <v>457</v>
      </c>
      <c r="E38" s="126" t="s">
        <v>1119</v>
      </c>
      <c r="G38" s="43">
        <v>14</v>
      </c>
      <c r="H38" s="30"/>
      <c r="I38" s="43">
        <v>132</v>
      </c>
    </row>
    <row r="39" spans="1:10" ht="16" customHeight="1" outlineLevel="1" x14ac:dyDescent="0.25">
      <c r="A39" s="51"/>
      <c r="B39" s="32"/>
      <c r="C39" t="s">
        <v>1163</v>
      </c>
      <c r="D39" s="126" t="s">
        <v>462</v>
      </c>
      <c r="E39" s="126" t="s">
        <v>1119</v>
      </c>
      <c r="G39" s="43">
        <v>3</v>
      </c>
      <c r="H39" s="30"/>
    </row>
    <row r="40" spans="1:10" ht="21" outlineLevel="1" x14ac:dyDescent="0.25">
      <c r="A40" s="51"/>
      <c r="B40" s="32"/>
      <c r="C40" t="s">
        <v>161</v>
      </c>
      <c r="D40" s="126" t="s">
        <v>446</v>
      </c>
      <c r="E40" s="126" t="s">
        <v>1119</v>
      </c>
      <c r="G40" s="43"/>
      <c r="H40" s="30"/>
      <c r="I40" s="43">
        <v>9</v>
      </c>
    </row>
    <row r="41" spans="1:10" ht="10" customHeight="1" outlineLevel="1" x14ac:dyDescent="0.25">
      <c r="A41" s="51"/>
      <c r="B41" s="32"/>
      <c r="G41" s="43"/>
      <c r="H41" s="30"/>
      <c r="I41" s="30"/>
    </row>
    <row r="42" spans="1:10" ht="21" outlineLevel="1" x14ac:dyDescent="0.25">
      <c r="A42" s="51"/>
      <c r="B42" s="32"/>
      <c r="C42" s="31" t="s">
        <v>1345</v>
      </c>
      <c r="D42" s="31"/>
      <c r="E42" s="31"/>
      <c r="F42" s="241"/>
      <c r="G42" s="31"/>
      <c r="H42" s="137"/>
      <c r="I42" s="46">
        <f>SUM(I19:I40)-I33-I39</f>
        <v>13799</v>
      </c>
      <c r="J42" s="139">
        <f>448/3034</f>
        <v>0.14765985497692816</v>
      </c>
    </row>
    <row r="43" spans="1:10" ht="21" outlineLevel="1" x14ac:dyDescent="0.25">
      <c r="A43" s="51"/>
      <c r="B43" s="32"/>
      <c r="C43" s="31" t="s">
        <v>1344</v>
      </c>
      <c r="D43" s="31"/>
      <c r="E43" s="31"/>
      <c r="F43" s="241"/>
      <c r="G43" s="31"/>
      <c r="H43" s="137"/>
      <c r="I43" s="266">
        <f>SUMIF(E13:E40,"Yes",I13:I40)</f>
        <v>6737</v>
      </c>
      <c r="J43" s="139"/>
    </row>
    <row r="44" spans="1:10" ht="22" outlineLevel="1" thickBot="1" x14ac:dyDescent="0.3">
      <c r="A44" s="51"/>
      <c r="B44" s="31" t="s">
        <v>202</v>
      </c>
      <c r="H44" s="60"/>
      <c r="I44" s="50">
        <f>SUM(I19:I40,I13:I16,I10)</f>
        <v>21911</v>
      </c>
    </row>
    <row r="45" spans="1:10" ht="6" customHeight="1" outlineLevel="1" thickTop="1" x14ac:dyDescent="0.25">
      <c r="A45" s="51"/>
      <c r="B45" s="32"/>
      <c r="H45" s="60"/>
      <c r="I45" s="30"/>
    </row>
    <row r="46" spans="1:10" ht="21" outlineLevel="1" x14ac:dyDescent="0.25">
      <c r="A46" s="51"/>
      <c r="B46" s="68" t="s">
        <v>261</v>
      </c>
      <c r="H46" s="60"/>
      <c r="I46" s="30"/>
    </row>
    <row r="47" spans="1:10" ht="21" outlineLevel="1" x14ac:dyDescent="0.25">
      <c r="A47" s="51"/>
      <c r="B47" s="68"/>
      <c r="C47" s="175" t="s">
        <v>1150</v>
      </c>
      <c r="D47" t="s">
        <v>1312</v>
      </c>
      <c r="E47" t="s">
        <v>1119</v>
      </c>
      <c r="F47" s="43" t="s">
        <v>1149</v>
      </c>
      <c r="G47">
        <v>40</v>
      </c>
      <c r="H47" s="60"/>
      <c r="I47" s="30" t="s">
        <v>11</v>
      </c>
      <c r="J47" t="s">
        <v>668</v>
      </c>
    </row>
    <row r="48" spans="1:10" ht="16" customHeight="1" outlineLevel="1" x14ac:dyDescent="0.25">
      <c r="A48" s="51"/>
      <c r="B48" s="31"/>
      <c r="C48" t="s">
        <v>485</v>
      </c>
      <c r="D48" t="s">
        <v>1252</v>
      </c>
      <c r="H48" s="60"/>
      <c r="I48" s="30">
        <v>400</v>
      </c>
    </row>
    <row r="49" spans="1:10" ht="16" customHeight="1" outlineLevel="1" x14ac:dyDescent="0.25">
      <c r="A49" s="51"/>
      <c r="B49" s="31"/>
      <c r="C49" t="s">
        <v>486</v>
      </c>
      <c r="D49" t="s">
        <v>1313</v>
      </c>
      <c r="E49" t="s">
        <v>1119</v>
      </c>
      <c r="H49" s="60"/>
      <c r="I49" s="30" t="s">
        <v>11</v>
      </c>
    </row>
    <row r="50" spans="1:10" ht="16" customHeight="1" outlineLevel="1" x14ac:dyDescent="0.25">
      <c r="A50" s="51"/>
      <c r="B50" s="31"/>
      <c r="C50" s="175" t="s">
        <v>487</v>
      </c>
      <c r="D50" t="s">
        <v>463</v>
      </c>
      <c r="H50" s="60"/>
      <c r="I50" s="30">
        <v>700</v>
      </c>
    </row>
    <row r="51" spans="1:10" ht="6" customHeight="1" outlineLevel="1" x14ac:dyDescent="0.25">
      <c r="A51" s="51"/>
      <c r="H51" s="60"/>
      <c r="I51" s="30"/>
    </row>
    <row r="52" spans="1:10" ht="21" outlineLevel="1" x14ac:dyDescent="0.25">
      <c r="A52" s="51"/>
      <c r="C52" s="31" t="s">
        <v>210</v>
      </c>
      <c r="D52" s="31"/>
      <c r="E52" s="31"/>
      <c r="F52" s="241"/>
      <c r="G52" s="31"/>
      <c r="H52" s="137"/>
      <c r="I52" s="46">
        <f>SUM(I48:I51)</f>
        <v>1100</v>
      </c>
    </row>
    <row r="53" spans="1:10" ht="22" outlineLevel="1" thickBot="1" x14ac:dyDescent="0.3">
      <c r="A53" s="51"/>
      <c r="B53" s="31" t="s">
        <v>202</v>
      </c>
      <c r="H53" s="60"/>
      <c r="I53" s="50">
        <f>I52+I44</f>
        <v>23011</v>
      </c>
    </row>
    <row r="54" spans="1:10" ht="22" outlineLevel="1" thickTop="1" x14ac:dyDescent="0.25">
      <c r="A54" s="51"/>
      <c r="H54" s="60"/>
      <c r="I54" s="30"/>
    </row>
    <row r="55" spans="1:10" ht="21" x14ac:dyDescent="0.25">
      <c r="A55" s="49" t="s">
        <v>200</v>
      </c>
      <c r="H55" s="60"/>
    </row>
    <row r="56" spans="1:10" ht="6" customHeight="1" x14ac:dyDescent="0.25">
      <c r="A56" s="49"/>
      <c r="H56" s="60"/>
    </row>
    <row r="57" spans="1:10" ht="49" thickBot="1" x14ac:dyDescent="0.3">
      <c r="A57" s="49"/>
      <c r="D57" s="38" t="s">
        <v>431</v>
      </c>
      <c r="E57" s="38"/>
      <c r="F57" s="38" t="s">
        <v>430</v>
      </c>
      <c r="G57" s="38" t="s">
        <v>208</v>
      </c>
      <c r="H57" s="185" t="s">
        <v>501</v>
      </c>
      <c r="I57" s="38" t="s">
        <v>211</v>
      </c>
      <c r="J57" s="38" t="s">
        <v>512</v>
      </c>
    </row>
    <row r="58" spans="1:10" ht="6" customHeight="1" x14ac:dyDescent="0.25">
      <c r="A58" s="49"/>
      <c r="H58" s="60"/>
    </row>
    <row r="59" spans="1:10" ht="21" x14ac:dyDescent="0.25">
      <c r="A59" s="51"/>
      <c r="B59" s="31" t="s">
        <v>204</v>
      </c>
      <c r="H59" s="60"/>
      <c r="I59" s="44">
        <v>6227</v>
      </c>
    </row>
    <row r="60" spans="1:10" ht="6" customHeight="1" x14ac:dyDescent="0.25">
      <c r="A60" s="51"/>
      <c r="H60" s="60"/>
      <c r="I60" s="30"/>
    </row>
    <row r="61" spans="1:10" ht="21" outlineLevel="1" x14ac:dyDescent="0.25">
      <c r="A61" s="51"/>
      <c r="B61" s="32" t="s">
        <v>187</v>
      </c>
      <c r="H61" s="60"/>
    </row>
    <row r="62" spans="1:10" ht="21" outlineLevel="1" x14ac:dyDescent="0.25">
      <c r="A62" s="51"/>
      <c r="B62" s="32"/>
      <c r="H62" s="60"/>
      <c r="I62" s="30" t="s">
        <v>11</v>
      </c>
    </row>
    <row r="63" spans="1:10" ht="6" customHeight="1" outlineLevel="1" x14ac:dyDescent="0.25">
      <c r="A63" s="51"/>
      <c r="B63" s="32"/>
      <c r="H63" s="60"/>
      <c r="I63" s="30"/>
    </row>
    <row r="64" spans="1:10" ht="21" x14ac:dyDescent="0.25">
      <c r="A64" s="51"/>
      <c r="B64" s="67" t="s">
        <v>215</v>
      </c>
      <c r="C64" s="56"/>
      <c r="D64" s="56"/>
      <c r="E64" s="56"/>
      <c r="F64" s="57"/>
      <c r="G64" s="56"/>
      <c r="H64" s="156"/>
      <c r="I64" s="56"/>
    </row>
    <row r="65" spans="1:12" ht="6" customHeight="1" outlineLevel="1" x14ac:dyDescent="0.25">
      <c r="A65" s="51"/>
      <c r="B65" s="31"/>
      <c r="H65" s="60"/>
      <c r="I65" s="30"/>
    </row>
    <row r="66" spans="1:12" ht="16" customHeight="1" outlineLevel="1" x14ac:dyDescent="0.25">
      <c r="A66" s="51"/>
      <c r="B66" s="31"/>
      <c r="C66" t="s">
        <v>1349</v>
      </c>
      <c r="D66" t="s">
        <v>457</v>
      </c>
      <c r="E66" t="s">
        <v>1119</v>
      </c>
      <c r="F66" s="43" t="s">
        <v>523</v>
      </c>
      <c r="G66" s="65">
        <v>50</v>
      </c>
      <c r="H66" s="153">
        <v>1796</v>
      </c>
      <c r="I66" s="30">
        <v>3610</v>
      </c>
      <c r="J66" t="s">
        <v>668</v>
      </c>
      <c r="L66" s="311"/>
    </row>
    <row r="67" spans="1:12" ht="16" customHeight="1" outlineLevel="1" x14ac:dyDescent="0.25">
      <c r="A67" s="51"/>
      <c r="B67" s="31"/>
      <c r="C67" t="s">
        <v>1265</v>
      </c>
      <c r="D67" t="s">
        <v>465</v>
      </c>
      <c r="G67" s="65" t="s">
        <v>11</v>
      </c>
      <c r="H67" s="153"/>
      <c r="I67" s="30">
        <f>2213-517</f>
        <v>1696</v>
      </c>
      <c r="J67" t="s">
        <v>1299</v>
      </c>
      <c r="L67" s="311"/>
    </row>
    <row r="68" spans="1:12" ht="16" customHeight="1" outlineLevel="1" x14ac:dyDescent="0.25">
      <c r="A68" s="51"/>
      <c r="B68" s="31"/>
      <c r="C68" t="s">
        <v>1264</v>
      </c>
      <c r="D68" t="s">
        <v>465</v>
      </c>
      <c r="G68" s="65" t="s">
        <v>11</v>
      </c>
      <c r="H68" s="153"/>
      <c r="I68" s="30">
        <f>2809-607</f>
        <v>2202</v>
      </c>
      <c r="J68" t="s">
        <v>1299</v>
      </c>
      <c r="L68" s="311"/>
    </row>
    <row r="69" spans="1:12" ht="16" customHeight="1" outlineLevel="1" x14ac:dyDescent="0.25">
      <c r="A69" s="51"/>
      <c r="B69" s="31"/>
      <c r="C69" t="s">
        <v>448</v>
      </c>
      <c r="D69" t="s">
        <v>1280</v>
      </c>
      <c r="G69" s="65">
        <v>36</v>
      </c>
      <c r="H69" s="153"/>
      <c r="I69" s="30">
        <v>1357</v>
      </c>
      <c r="J69" t="s">
        <v>1160</v>
      </c>
      <c r="L69" s="311"/>
    </row>
    <row r="70" spans="1:12" ht="16" customHeight="1" outlineLevel="1" x14ac:dyDescent="0.25">
      <c r="A70" s="51"/>
      <c r="B70" s="31"/>
      <c r="C70" t="s">
        <v>1166</v>
      </c>
      <c r="D70" t="s">
        <v>446</v>
      </c>
      <c r="E70" t="s">
        <v>1119</v>
      </c>
      <c r="G70" s="65">
        <v>26</v>
      </c>
      <c r="H70" s="153">
        <v>887</v>
      </c>
      <c r="I70" s="30">
        <v>1706</v>
      </c>
      <c r="J70" t="s">
        <v>519</v>
      </c>
      <c r="L70" s="311"/>
    </row>
    <row r="71" spans="1:12" ht="16" customHeight="1" outlineLevel="1" x14ac:dyDescent="0.25">
      <c r="A71" s="51"/>
      <c r="B71" s="31"/>
      <c r="C71" t="s">
        <v>442</v>
      </c>
      <c r="D71" t="s">
        <v>412</v>
      </c>
      <c r="E71" t="s">
        <v>1119</v>
      </c>
      <c r="F71" s="43" t="s">
        <v>1354</v>
      </c>
      <c r="G71" s="65">
        <v>23</v>
      </c>
      <c r="H71" s="153">
        <v>606</v>
      </c>
      <c r="I71" s="30">
        <v>850</v>
      </c>
      <c r="J71" t="s">
        <v>1130</v>
      </c>
      <c r="L71" s="311"/>
    </row>
    <row r="72" spans="1:12" ht="16" customHeight="1" outlineLevel="1" x14ac:dyDescent="0.25">
      <c r="A72" s="51"/>
      <c r="B72" s="31"/>
      <c r="C72" t="s">
        <v>476</v>
      </c>
      <c r="D72" t="s">
        <v>447</v>
      </c>
      <c r="G72" s="65">
        <v>30</v>
      </c>
      <c r="H72" s="153"/>
      <c r="I72" s="30">
        <v>834</v>
      </c>
      <c r="J72" t="s">
        <v>518</v>
      </c>
      <c r="L72" s="311"/>
    </row>
    <row r="73" spans="1:12" ht="16" customHeight="1" outlineLevel="1" x14ac:dyDescent="0.25">
      <c r="A73" s="51"/>
      <c r="B73" s="31"/>
      <c r="C73" t="s">
        <v>129</v>
      </c>
      <c r="D73" t="s">
        <v>76</v>
      </c>
      <c r="G73" s="65">
        <v>29</v>
      </c>
      <c r="H73" s="153"/>
      <c r="I73" s="30">
        <v>716</v>
      </c>
      <c r="L73" s="311"/>
    </row>
    <row r="74" spans="1:12" ht="16" customHeight="1" outlineLevel="1" x14ac:dyDescent="0.25">
      <c r="A74" s="51"/>
      <c r="B74" s="31"/>
      <c r="C74" t="s">
        <v>450</v>
      </c>
      <c r="D74" t="s">
        <v>446</v>
      </c>
      <c r="E74" t="s">
        <v>1119</v>
      </c>
      <c r="F74" s="43" t="s">
        <v>1356</v>
      </c>
      <c r="G74" s="65">
        <v>43</v>
      </c>
      <c r="H74" s="153">
        <v>1429</v>
      </c>
      <c r="I74" s="30">
        <v>484</v>
      </c>
      <c r="J74" t="s">
        <v>518</v>
      </c>
      <c r="L74" s="311"/>
    </row>
    <row r="75" spans="1:12" ht="16" customHeight="1" outlineLevel="1" x14ac:dyDescent="0.25">
      <c r="A75" s="51"/>
      <c r="B75" s="31"/>
      <c r="C75" s="175" t="s">
        <v>113</v>
      </c>
      <c r="D75" t="s">
        <v>1314</v>
      </c>
      <c r="G75" s="65" t="s">
        <v>11</v>
      </c>
      <c r="H75" s="153"/>
      <c r="I75" s="30">
        <v>425</v>
      </c>
      <c r="J75" t="s">
        <v>1278</v>
      </c>
      <c r="L75" s="311"/>
    </row>
    <row r="76" spans="1:12" ht="16" customHeight="1" outlineLevel="1" x14ac:dyDescent="0.25">
      <c r="A76" s="51"/>
      <c r="B76" s="31"/>
      <c r="C76" s="175" t="s">
        <v>466</v>
      </c>
      <c r="D76" t="s">
        <v>455</v>
      </c>
      <c r="E76" t="s">
        <v>1119</v>
      </c>
      <c r="F76" s="43" t="s">
        <v>500</v>
      </c>
      <c r="G76" s="65">
        <v>53</v>
      </c>
      <c r="H76" s="153">
        <v>2850</v>
      </c>
      <c r="I76" s="30">
        <v>423</v>
      </c>
      <c r="J76" t="s">
        <v>515</v>
      </c>
      <c r="L76" s="311"/>
    </row>
    <row r="77" spans="1:12" ht="16" customHeight="1" outlineLevel="1" x14ac:dyDescent="0.25">
      <c r="A77" s="51"/>
      <c r="B77" s="31"/>
      <c r="C77" t="s">
        <v>1341</v>
      </c>
      <c r="D77" t="s">
        <v>446</v>
      </c>
      <c r="E77" t="s">
        <v>1119</v>
      </c>
      <c r="G77" s="65">
        <v>35</v>
      </c>
      <c r="H77" s="153">
        <v>2558</v>
      </c>
      <c r="I77" s="30">
        <v>414</v>
      </c>
      <c r="J77" t="s">
        <v>521</v>
      </c>
      <c r="L77" s="311"/>
    </row>
    <row r="78" spans="1:12" ht="16" customHeight="1" outlineLevel="1" x14ac:dyDescent="0.25">
      <c r="A78" s="51"/>
      <c r="B78" s="31"/>
      <c r="C78" t="s">
        <v>1337</v>
      </c>
      <c r="D78" t="s">
        <v>446</v>
      </c>
      <c r="E78" t="s">
        <v>1119</v>
      </c>
      <c r="F78" s="43" t="s">
        <v>525</v>
      </c>
      <c r="G78" s="65">
        <v>45</v>
      </c>
      <c r="H78" s="153"/>
      <c r="I78" s="30">
        <v>330</v>
      </c>
      <c r="J78" t="s">
        <v>529</v>
      </c>
      <c r="L78" s="311"/>
    </row>
    <row r="79" spans="1:12" ht="16" customHeight="1" outlineLevel="1" x14ac:dyDescent="0.25">
      <c r="A79" s="51"/>
      <c r="B79" s="31"/>
      <c r="C79" t="s">
        <v>1151</v>
      </c>
      <c r="D79" t="s">
        <v>446</v>
      </c>
      <c r="E79" t="s">
        <v>1119</v>
      </c>
      <c r="G79" s="65">
        <v>14</v>
      </c>
      <c r="H79" s="153"/>
      <c r="I79" s="30">
        <v>210</v>
      </c>
      <c r="L79" s="311"/>
    </row>
    <row r="80" spans="1:12" ht="16" customHeight="1" outlineLevel="1" x14ac:dyDescent="0.25">
      <c r="A80" s="51"/>
      <c r="B80" s="31"/>
      <c r="C80" t="s">
        <v>1336</v>
      </c>
      <c r="D80" t="s">
        <v>446</v>
      </c>
      <c r="E80" t="s">
        <v>1119</v>
      </c>
      <c r="G80" s="65">
        <v>26</v>
      </c>
      <c r="H80" s="153">
        <v>2103</v>
      </c>
      <c r="I80" s="30">
        <v>190</v>
      </c>
      <c r="L80" s="311"/>
    </row>
    <row r="81" spans="1:12" ht="16" customHeight="1" outlineLevel="1" x14ac:dyDescent="0.25">
      <c r="A81" s="51"/>
      <c r="B81" s="31"/>
      <c r="C81" t="s">
        <v>1338</v>
      </c>
      <c r="D81" t="s">
        <v>412</v>
      </c>
      <c r="E81" t="s">
        <v>1119</v>
      </c>
      <c r="G81" s="65">
        <v>29</v>
      </c>
      <c r="H81" s="153">
        <v>1320</v>
      </c>
      <c r="I81" s="30">
        <v>167</v>
      </c>
      <c r="J81" t="s">
        <v>522</v>
      </c>
      <c r="L81" s="311"/>
    </row>
    <row r="82" spans="1:12" ht="16" customHeight="1" outlineLevel="1" x14ac:dyDescent="0.25">
      <c r="A82" s="51"/>
      <c r="B82" s="31"/>
      <c r="C82" s="175" t="s">
        <v>1339</v>
      </c>
      <c r="D82" t="s">
        <v>446</v>
      </c>
      <c r="E82" t="s">
        <v>1119</v>
      </c>
      <c r="G82" s="65">
        <v>31</v>
      </c>
      <c r="H82" s="153">
        <v>1123</v>
      </c>
      <c r="I82" s="30">
        <v>121</v>
      </c>
      <c r="L82" s="311"/>
    </row>
    <row r="83" spans="1:12" ht="16" customHeight="1" outlineLevel="1" x14ac:dyDescent="0.25">
      <c r="A83" s="51"/>
      <c r="B83" s="31"/>
      <c r="C83" t="s">
        <v>509</v>
      </c>
      <c r="D83" t="s">
        <v>446</v>
      </c>
      <c r="E83" t="s">
        <v>1119</v>
      </c>
      <c r="G83" s="65">
        <v>13</v>
      </c>
      <c r="H83" s="153">
        <v>1015</v>
      </c>
      <c r="I83" s="30">
        <v>89</v>
      </c>
      <c r="L83" s="311"/>
    </row>
    <row r="84" spans="1:12" ht="16" customHeight="1" outlineLevel="1" x14ac:dyDescent="0.25">
      <c r="A84" s="51"/>
      <c r="B84" s="31"/>
      <c r="C84" t="s">
        <v>1340</v>
      </c>
      <c r="D84" t="s">
        <v>1315</v>
      </c>
      <c r="G84" s="65"/>
      <c r="H84" s="153"/>
      <c r="I84" s="30">
        <v>78</v>
      </c>
    </row>
    <row r="85" spans="1:12" ht="16" customHeight="1" outlineLevel="1" x14ac:dyDescent="0.25">
      <c r="A85" s="51"/>
      <c r="B85" s="31"/>
      <c r="C85" t="s">
        <v>146</v>
      </c>
      <c r="D85" t="s">
        <v>446</v>
      </c>
      <c r="E85" t="s">
        <v>1119</v>
      </c>
      <c r="G85" s="65">
        <v>12</v>
      </c>
      <c r="H85" s="153"/>
      <c r="I85" s="30">
        <v>23</v>
      </c>
    </row>
    <row r="86" spans="1:12" ht="6" customHeight="1" x14ac:dyDescent="0.25">
      <c r="A86" s="51"/>
      <c r="B86" s="31"/>
      <c r="G86" s="65"/>
      <c r="H86" s="153"/>
      <c r="I86" s="30"/>
    </row>
    <row r="87" spans="1:12" ht="21" x14ac:dyDescent="0.25">
      <c r="A87" s="51"/>
      <c r="B87" s="32"/>
      <c r="C87" s="31" t="s">
        <v>1345</v>
      </c>
      <c r="D87" s="31"/>
      <c r="E87" s="31"/>
      <c r="F87" s="241"/>
      <c r="G87" s="66"/>
      <c r="H87" s="186"/>
      <c r="I87" s="44">
        <f>SUM(I66:I86)</f>
        <v>15925</v>
      </c>
    </row>
    <row r="88" spans="1:12" ht="21" x14ac:dyDescent="0.25">
      <c r="A88" s="51"/>
      <c r="B88" s="32"/>
      <c r="C88" s="31" t="s">
        <v>1344</v>
      </c>
      <c r="D88" s="31"/>
      <c r="E88" s="31"/>
      <c r="F88" s="241"/>
      <c r="G88" s="66"/>
      <c r="H88" s="186"/>
      <c r="I88" s="44">
        <f ca="1">SUMIF($E65:$E85,"yes",I66:I85)</f>
        <v>5404</v>
      </c>
    </row>
    <row r="89" spans="1:12" ht="22" thickBot="1" x14ac:dyDescent="0.3">
      <c r="A89" s="51"/>
      <c r="B89" s="31" t="s">
        <v>202</v>
      </c>
      <c r="H89" s="60"/>
      <c r="I89" s="50">
        <f>I87+I59</f>
        <v>22152</v>
      </c>
      <c r="J89" s="254"/>
    </row>
    <row r="90" spans="1:12" ht="22" thickTop="1" x14ac:dyDescent="0.25">
      <c r="A90" s="51"/>
      <c r="B90" s="68" t="s">
        <v>216</v>
      </c>
      <c r="H90" s="60"/>
      <c r="I90" s="30"/>
    </row>
    <row r="91" spans="1:12" ht="21" outlineLevel="1" x14ac:dyDescent="0.25">
      <c r="A91" s="51"/>
      <c r="B91" s="31"/>
      <c r="C91" s="175" t="s">
        <v>213</v>
      </c>
      <c r="D91" t="s">
        <v>1249</v>
      </c>
      <c r="H91" s="60"/>
      <c r="I91" s="30">
        <v>500</v>
      </c>
    </row>
    <row r="92" spans="1:12" ht="21" outlineLevel="1" x14ac:dyDescent="0.25">
      <c r="A92" s="51"/>
      <c r="B92" s="31"/>
      <c r="C92" s="175" t="s">
        <v>478</v>
      </c>
      <c r="D92" t="s">
        <v>1250</v>
      </c>
      <c r="H92" s="60"/>
      <c r="I92" s="30">
        <v>700</v>
      </c>
    </row>
    <row r="93" spans="1:12" ht="10" customHeight="1" x14ac:dyDescent="0.25">
      <c r="A93" s="51"/>
      <c r="B93" s="31"/>
      <c r="H93" s="60"/>
      <c r="I93" s="30"/>
    </row>
    <row r="94" spans="1:12" ht="21" x14ac:dyDescent="0.25">
      <c r="A94" s="51"/>
      <c r="C94" s="31" t="s">
        <v>210</v>
      </c>
      <c r="D94" s="31"/>
      <c r="E94" s="31"/>
      <c r="F94" s="241"/>
      <c r="G94" s="31"/>
      <c r="H94" s="137"/>
      <c r="I94" s="46">
        <f>SUM(I91:I93)</f>
        <v>1200</v>
      </c>
    </row>
    <row r="95" spans="1:12" ht="17" thickBot="1" x14ac:dyDescent="0.25">
      <c r="B95" s="31" t="s">
        <v>202</v>
      </c>
      <c r="H95" s="60"/>
      <c r="I95" s="50">
        <f>I94+I87+I59</f>
        <v>23352</v>
      </c>
    </row>
    <row r="96" spans="1:12" ht="9" customHeight="1" thickTop="1" x14ac:dyDescent="0.25">
      <c r="A96" s="49"/>
      <c r="B96" s="31"/>
      <c r="H96" s="60"/>
      <c r="I96" s="53"/>
    </row>
    <row r="97" spans="1:9" ht="21" x14ac:dyDescent="0.25">
      <c r="A97" s="49"/>
      <c r="B97" s="31"/>
      <c r="G97" s="254"/>
      <c r="H97" s="60"/>
      <c r="I97" s="53"/>
    </row>
    <row r="98" spans="1:9" ht="21" x14ac:dyDescent="0.25">
      <c r="A98" s="49" t="s">
        <v>199</v>
      </c>
      <c r="B98" s="31"/>
      <c r="H98" s="60"/>
      <c r="I98" s="53"/>
    </row>
    <row r="99" spans="1:9" ht="6" customHeight="1" x14ac:dyDescent="0.25">
      <c r="A99" s="49"/>
      <c r="H99" s="60"/>
    </row>
    <row r="100" spans="1:9" ht="21" x14ac:dyDescent="0.25">
      <c r="A100" s="51"/>
      <c r="B100" s="31" t="s">
        <v>204</v>
      </c>
      <c r="H100" s="60"/>
      <c r="I100" s="30">
        <v>6231</v>
      </c>
    </row>
    <row r="101" spans="1:9" ht="6" customHeight="1" x14ac:dyDescent="0.25">
      <c r="A101" s="51"/>
      <c r="H101" s="60"/>
      <c r="I101" s="30"/>
    </row>
    <row r="102" spans="1:9" ht="21" x14ac:dyDescent="0.25">
      <c r="A102" s="51"/>
      <c r="B102" s="32" t="s">
        <v>187</v>
      </c>
      <c r="H102" s="60"/>
      <c r="I102" s="30" t="s">
        <v>11</v>
      </c>
    </row>
    <row r="103" spans="1:9" ht="6" customHeight="1" x14ac:dyDescent="0.25">
      <c r="A103" s="51"/>
      <c r="B103" s="32"/>
      <c r="H103" s="60"/>
      <c r="I103" s="30"/>
    </row>
    <row r="104" spans="1:9" ht="32" x14ac:dyDescent="0.25">
      <c r="A104" s="51"/>
      <c r="B104" s="55" t="s">
        <v>205</v>
      </c>
      <c r="C104" s="56"/>
      <c r="D104" s="56"/>
      <c r="E104" s="56"/>
      <c r="F104" s="57"/>
      <c r="G104" s="56"/>
      <c r="H104" s="156"/>
      <c r="I104" s="58" t="s">
        <v>206</v>
      </c>
    </row>
    <row r="105" spans="1:9" ht="6" customHeight="1" x14ac:dyDescent="0.25">
      <c r="A105" s="51"/>
      <c r="B105" s="31"/>
      <c r="H105" s="60"/>
      <c r="I105" s="30"/>
    </row>
    <row r="106" spans="1:9" ht="16" customHeight="1" outlineLevel="1" x14ac:dyDescent="0.25">
      <c r="A106" s="51"/>
      <c r="B106" s="31"/>
      <c r="C106" t="s">
        <v>479</v>
      </c>
      <c r="D106" t="s">
        <v>480</v>
      </c>
      <c r="E106" t="s">
        <v>1119</v>
      </c>
      <c r="H106" s="60"/>
      <c r="I106" s="30">
        <v>173</v>
      </c>
    </row>
    <row r="107" spans="1:9" ht="16" customHeight="1" outlineLevel="1" x14ac:dyDescent="0.25">
      <c r="A107" s="51"/>
      <c r="C107" t="s">
        <v>481</v>
      </c>
      <c r="D107" t="s">
        <v>457</v>
      </c>
      <c r="E107" t="s">
        <v>1119</v>
      </c>
      <c r="H107" s="60"/>
      <c r="I107" s="43">
        <v>36</v>
      </c>
    </row>
    <row r="108" spans="1:9" ht="16" customHeight="1" outlineLevel="1" x14ac:dyDescent="0.25">
      <c r="A108" s="51"/>
      <c r="B108" s="31"/>
      <c r="C108" t="s">
        <v>1266</v>
      </c>
      <c r="D108" t="s">
        <v>465</v>
      </c>
      <c r="G108" s="65" t="s">
        <v>11</v>
      </c>
      <c r="H108" s="153"/>
      <c r="I108" s="30">
        <f>417-134</f>
        <v>283</v>
      </c>
    </row>
    <row r="109" spans="1:9" ht="16" customHeight="1" outlineLevel="1" x14ac:dyDescent="0.2">
      <c r="C109" t="s">
        <v>484</v>
      </c>
      <c r="D109" t="s">
        <v>1343</v>
      </c>
      <c r="E109" t="s">
        <v>1119</v>
      </c>
      <c r="H109" s="60"/>
      <c r="I109" s="43">
        <v>62</v>
      </c>
    </row>
    <row r="110" spans="1:9" ht="16" customHeight="1" outlineLevel="1" x14ac:dyDescent="0.2">
      <c r="C110" t="s">
        <v>144</v>
      </c>
      <c r="D110" t="s">
        <v>482</v>
      </c>
      <c r="E110" t="s">
        <v>1119</v>
      </c>
      <c r="H110" s="60"/>
      <c r="I110" s="43">
        <v>39</v>
      </c>
    </row>
    <row r="111" spans="1:9" ht="16" customHeight="1" outlineLevel="1" x14ac:dyDescent="0.2">
      <c r="C111" t="s">
        <v>483</v>
      </c>
      <c r="D111" t="s">
        <v>1251</v>
      </c>
      <c r="H111" s="60"/>
      <c r="I111" s="43">
        <v>26</v>
      </c>
    </row>
    <row r="112" spans="1:9" ht="6" customHeight="1" x14ac:dyDescent="0.2">
      <c r="H112" s="60"/>
    </row>
    <row r="113" spans="1:64" x14ac:dyDescent="0.2">
      <c r="B113" s="32"/>
      <c r="C113" s="31" t="s">
        <v>1345</v>
      </c>
      <c r="D113" s="31"/>
      <c r="E113" s="31"/>
      <c r="F113" s="241"/>
      <c r="G113" s="31"/>
      <c r="H113" s="137"/>
      <c r="I113" s="270">
        <f>SUM(I106:I112)</f>
        <v>619</v>
      </c>
    </row>
    <row r="114" spans="1:64" x14ac:dyDescent="0.2">
      <c r="B114" s="32"/>
      <c r="C114" s="31" t="s">
        <v>1344</v>
      </c>
      <c r="D114" s="31"/>
      <c r="E114" s="31"/>
      <c r="F114" s="241"/>
      <c r="G114" s="31"/>
      <c r="H114" s="137"/>
      <c r="I114" s="44">
        <f>SUMIF($E106:$E111,"yes",I106:I111)</f>
        <v>310</v>
      </c>
    </row>
    <row r="115" spans="1:64" x14ac:dyDescent="0.2">
      <c r="B115" s="31" t="s">
        <v>202</v>
      </c>
      <c r="H115" s="60"/>
      <c r="I115" s="46">
        <f>I113+I100</f>
        <v>6850</v>
      </c>
    </row>
    <row r="116" spans="1:64" x14ac:dyDescent="0.2">
      <c r="G116" s="43"/>
      <c r="H116" s="43"/>
    </row>
    <row r="117" spans="1:64" x14ac:dyDescent="0.2">
      <c r="H117" s="60"/>
    </row>
    <row r="118" spans="1:64" ht="19" x14ac:dyDescent="0.25">
      <c r="A118" s="79" t="s">
        <v>253</v>
      </c>
      <c r="B118" s="80"/>
      <c r="C118" s="80"/>
      <c r="D118" s="80"/>
      <c r="E118" s="80"/>
      <c r="F118" s="81"/>
      <c r="G118" s="80"/>
      <c r="H118" s="82"/>
      <c r="I118" s="81"/>
    </row>
    <row r="119" spans="1:64" ht="6" customHeight="1" x14ac:dyDescent="0.25">
      <c r="A119" s="105"/>
      <c r="B119" s="84"/>
      <c r="C119" s="84"/>
      <c r="D119" s="84"/>
      <c r="E119" s="84"/>
      <c r="F119" s="87"/>
      <c r="G119" s="84"/>
      <c r="H119" s="84"/>
      <c r="I119" s="87"/>
    </row>
    <row r="120" spans="1:64" ht="32" x14ac:dyDescent="0.2">
      <c r="A120" s="83"/>
      <c r="B120" s="84"/>
      <c r="C120" s="84"/>
      <c r="D120" s="84"/>
      <c r="E120" s="84"/>
      <c r="F120" s="87"/>
      <c r="G120" s="84"/>
      <c r="H120" s="84"/>
      <c r="I120" s="85" t="s">
        <v>206</v>
      </c>
    </row>
    <row r="121" spans="1:64" ht="6" customHeight="1" x14ac:dyDescent="0.2">
      <c r="A121" s="83"/>
      <c r="B121" s="84"/>
      <c r="C121" s="84"/>
      <c r="D121" s="84"/>
      <c r="E121" s="84"/>
      <c r="F121" s="87"/>
      <c r="G121" s="84"/>
      <c r="H121" s="84"/>
      <c r="I121" s="87"/>
    </row>
    <row r="122" spans="1:64" x14ac:dyDescent="0.2">
      <c r="A122" s="90"/>
      <c r="B122" s="98" t="s">
        <v>203</v>
      </c>
      <c r="C122" s="84"/>
      <c r="D122" s="84"/>
      <c r="E122" s="84"/>
      <c r="F122" s="87"/>
      <c r="G122" s="84"/>
      <c r="H122" s="84"/>
      <c r="I122" s="36">
        <f>I10+I59+I100</f>
        <v>18624</v>
      </c>
    </row>
    <row r="123" spans="1:64" ht="6" customHeight="1" x14ac:dyDescent="0.2">
      <c r="A123" s="90"/>
      <c r="B123" s="98"/>
      <c r="C123" s="84"/>
      <c r="D123" s="84"/>
      <c r="E123" s="84"/>
      <c r="F123" s="87"/>
      <c r="G123" s="84"/>
      <c r="H123" s="84"/>
      <c r="I123" s="36"/>
    </row>
    <row r="124" spans="1:64" s="31" customFormat="1" x14ac:dyDescent="0.2">
      <c r="A124" s="97"/>
      <c r="B124" s="98" t="s">
        <v>272</v>
      </c>
      <c r="C124" s="98"/>
      <c r="D124" s="98"/>
      <c r="E124" s="98"/>
      <c r="F124" s="125"/>
      <c r="G124" s="98"/>
      <c r="H124" s="98"/>
      <c r="I124" s="53">
        <f>I115+I89+I44</f>
        <v>50913</v>
      </c>
      <c r="J124"/>
      <c r="K124"/>
      <c r="M124" s="241"/>
      <c r="N124" s="363"/>
      <c r="O124" s="241"/>
      <c r="P124" s="241"/>
      <c r="Q124" s="368"/>
      <c r="R124" s="368"/>
      <c r="S124" s="241"/>
      <c r="T124" s="241"/>
      <c r="U124" s="241"/>
      <c r="V124" s="44"/>
      <c r="W124" s="44"/>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44"/>
      <c r="BA124" s="44"/>
      <c r="BB124" s="44"/>
      <c r="BC124" s="241"/>
      <c r="BD124" s="241"/>
      <c r="BE124" s="376"/>
      <c r="BF124" s="376"/>
      <c r="BG124" s="241"/>
      <c r="BH124" s="241"/>
      <c r="BI124" s="241"/>
      <c r="BJ124" s="241"/>
      <c r="BK124" s="241"/>
      <c r="BL124" s="241"/>
    </row>
    <row r="125" spans="1:64" s="31" customFormat="1" x14ac:dyDescent="0.2">
      <c r="A125" s="97"/>
      <c r="B125" s="98"/>
      <c r="C125" s="98" t="s">
        <v>1347</v>
      </c>
      <c r="D125" s="98"/>
      <c r="E125" s="98"/>
      <c r="F125" s="125"/>
      <c r="G125" s="98"/>
      <c r="H125" s="98"/>
      <c r="I125" s="53">
        <f ca="1">I43+I88+I114</f>
        <v>12451</v>
      </c>
      <c r="J125"/>
      <c r="K125"/>
      <c r="M125" s="241"/>
      <c r="N125" s="363"/>
      <c r="O125" s="241"/>
      <c r="P125" s="241"/>
      <c r="Q125" s="368"/>
      <c r="R125" s="368"/>
      <c r="S125" s="241"/>
      <c r="T125" s="241"/>
      <c r="U125" s="241"/>
      <c r="V125" s="44"/>
      <c r="W125" s="44"/>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44"/>
      <c r="BA125" s="44"/>
      <c r="BB125" s="44"/>
      <c r="BC125" s="241"/>
      <c r="BD125" s="241"/>
      <c r="BE125" s="376"/>
      <c r="BF125" s="376"/>
      <c r="BG125" s="241"/>
      <c r="BH125" s="241"/>
      <c r="BI125" s="241"/>
      <c r="BJ125" s="241"/>
      <c r="BK125" s="241"/>
      <c r="BL125" s="241"/>
    </row>
    <row r="126" spans="1:64" x14ac:dyDescent="0.2">
      <c r="A126" s="90"/>
      <c r="C126" s="84" t="s">
        <v>254</v>
      </c>
      <c r="D126" s="84"/>
      <c r="E126" s="84"/>
      <c r="F126" s="87"/>
      <c r="G126" s="84"/>
      <c r="H126" s="84"/>
      <c r="I126" s="36">
        <f>I124-I122</f>
        <v>32289</v>
      </c>
    </row>
    <row r="127" spans="1:64" x14ac:dyDescent="0.2">
      <c r="A127" s="90"/>
      <c r="C127" s="84" t="s">
        <v>255</v>
      </c>
      <c r="D127" s="84"/>
      <c r="E127" s="84"/>
      <c r="F127" s="87"/>
      <c r="G127" s="84"/>
      <c r="H127" s="84"/>
      <c r="I127" s="123">
        <f>I124/I122-1</f>
        <v>1.7337306701030926</v>
      </c>
      <c r="M127" s="154" t="s">
        <v>24</v>
      </c>
      <c r="N127" s="154"/>
      <c r="O127" s="154" t="s">
        <v>200</v>
      </c>
      <c r="P127" s="154" t="s">
        <v>199</v>
      </c>
      <c r="Q127" s="369" t="s">
        <v>378</v>
      </c>
    </row>
    <row r="128" spans="1:64" ht="6" customHeight="1" x14ac:dyDescent="0.2">
      <c r="A128" s="90"/>
      <c r="B128" s="84"/>
      <c r="C128" s="84"/>
      <c r="D128" s="84"/>
      <c r="E128" s="84"/>
      <c r="F128" s="87"/>
      <c r="G128" s="84"/>
      <c r="H128" s="84"/>
      <c r="I128" s="36"/>
    </row>
    <row r="129" spans="1:17" x14ac:dyDescent="0.2">
      <c r="A129" s="90"/>
      <c r="B129" s="98" t="s">
        <v>273</v>
      </c>
      <c r="C129" s="84"/>
      <c r="D129" s="84"/>
      <c r="E129" s="84"/>
      <c r="F129" s="87"/>
      <c r="G129" s="84"/>
      <c r="H129" s="84"/>
      <c r="I129" s="53">
        <f>I95+I115+I53</f>
        <v>53213</v>
      </c>
      <c r="L129" s="65" t="s">
        <v>380</v>
      </c>
      <c r="M129" s="30" t="e">
        <f>#REF!</f>
        <v>#REF!</v>
      </c>
      <c r="N129" s="269"/>
      <c r="O129" s="30" t="e">
        <f>#REF!</f>
        <v>#REF!</v>
      </c>
      <c r="P129" s="30" t="e">
        <f>#REF!</f>
        <v>#REF!</v>
      </c>
      <c r="Q129" s="364" t="e">
        <f>SUM(M129:P129)</f>
        <v>#REF!</v>
      </c>
    </row>
    <row r="130" spans="1:17" x14ac:dyDescent="0.2">
      <c r="A130" s="90"/>
      <c r="C130" s="84" t="s">
        <v>254</v>
      </c>
      <c r="D130" s="84"/>
      <c r="E130" s="84"/>
      <c r="F130" s="87"/>
      <c r="G130" s="84"/>
      <c r="H130" s="84"/>
      <c r="I130" s="36">
        <f>I129-I122</f>
        <v>34589</v>
      </c>
      <c r="L130" s="152" t="s">
        <v>379</v>
      </c>
      <c r="M130" s="30" t="e">
        <f>#REF!+#REF!</f>
        <v>#REF!</v>
      </c>
      <c r="N130" s="269"/>
      <c r="O130" s="43">
        <v>0</v>
      </c>
      <c r="P130" s="43">
        <v>0</v>
      </c>
      <c r="Q130" s="364" t="e">
        <f>SUM(M130:P130)</f>
        <v>#REF!</v>
      </c>
    </row>
    <row r="131" spans="1:17" x14ac:dyDescent="0.2">
      <c r="A131" s="90"/>
      <c r="C131" s="84" t="s">
        <v>255</v>
      </c>
      <c r="D131" s="84"/>
      <c r="E131" s="84"/>
      <c r="F131" s="87"/>
      <c r="G131" s="84"/>
      <c r="H131" s="84"/>
      <c r="I131" s="123">
        <f>I129/I122-1</f>
        <v>1.857227233676976</v>
      </c>
      <c r="L131" s="65" t="s">
        <v>1383</v>
      </c>
      <c r="M131" s="30" t="e">
        <f>#REF!</f>
        <v>#REF!</v>
      </c>
      <c r="N131" s="269"/>
      <c r="O131" s="30" t="e">
        <f>#REF!</f>
        <v>#REF!</v>
      </c>
      <c r="P131" s="30" t="e">
        <f>#REF!</f>
        <v>#REF!</v>
      </c>
      <c r="Q131" s="364" t="e">
        <f>SUM(M131:P131)</f>
        <v>#REF!</v>
      </c>
    </row>
    <row r="132" spans="1:17" x14ac:dyDescent="0.2">
      <c r="A132" s="90"/>
      <c r="C132" s="84"/>
      <c r="D132" s="84"/>
      <c r="E132" s="84"/>
      <c r="F132" s="87"/>
      <c r="G132" s="84"/>
      <c r="H132" s="84"/>
      <c r="I132" s="123"/>
      <c r="L132" s="65" t="s">
        <v>447</v>
      </c>
      <c r="M132" s="30" t="e">
        <f>#REF!-#REF!</f>
        <v>#REF!</v>
      </c>
      <c r="N132" s="269"/>
      <c r="O132" s="30" t="e">
        <f>#REF!-#REF!</f>
        <v>#REF!</v>
      </c>
      <c r="P132" s="30" t="e">
        <f>#REF!-#REF!</f>
        <v>#REF!</v>
      </c>
      <c r="Q132" s="364" t="e">
        <f>SUM(M132:P132)</f>
        <v>#REF!</v>
      </c>
    </row>
    <row r="133" spans="1:17" x14ac:dyDescent="0.2">
      <c r="A133" s="90"/>
      <c r="B133" s="180" t="s">
        <v>497</v>
      </c>
      <c r="C133" s="84"/>
      <c r="D133" s="84"/>
      <c r="E133" s="84"/>
      <c r="F133" s="87"/>
      <c r="G133" s="84"/>
      <c r="H133" s="84"/>
      <c r="I133" s="181" t="e">
        <f>#REF!/2</f>
        <v>#REF!</v>
      </c>
      <c r="L133" s="65" t="s">
        <v>377</v>
      </c>
      <c r="M133" s="30" t="e">
        <f>#REF!</f>
        <v>#REF!</v>
      </c>
      <c r="N133" s="269"/>
      <c r="O133" s="30" t="e">
        <f>#REF!</f>
        <v>#REF!</v>
      </c>
      <c r="Q133" s="364" t="e">
        <f>SUM(M133:P133)</f>
        <v>#REF!</v>
      </c>
    </row>
    <row r="134" spans="1:17" x14ac:dyDescent="0.2">
      <c r="A134" s="90"/>
      <c r="B134" s="175" t="s">
        <v>496</v>
      </c>
      <c r="C134" s="84"/>
      <c r="D134" s="84"/>
      <c r="E134" s="84"/>
      <c r="F134" s="87"/>
      <c r="G134" s="84"/>
      <c r="H134" s="84"/>
      <c r="I134" s="179" t="e">
        <f>I133+SUM(I19,I21,I23:I25,I27,I29:I30,I32:I34,I36,I76,I82,I37,I75)</f>
        <v>#REF!</v>
      </c>
      <c r="L134" s="65"/>
      <c r="M134" s="30"/>
      <c r="N134" s="269"/>
      <c r="O134" s="30"/>
      <c r="P134" s="30"/>
    </row>
    <row r="135" spans="1:17" x14ac:dyDescent="0.2">
      <c r="A135" s="90"/>
      <c r="B135" s="175" t="s">
        <v>495</v>
      </c>
      <c r="C135" s="84"/>
      <c r="D135" s="84"/>
      <c r="E135" s="84"/>
      <c r="F135" s="87"/>
      <c r="G135" s="84"/>
      <c r="H135" s="84"/>
      <c r="I135" s="179" t="e">
        <f>I134+SUM(I91:I92,I50,I47)</f>
        <v>#REF!</v>
      </c>
      <c r="L135" s="65"/>
      <c r="M135" s="30"/>
      <c r="N135" s="269"/>
      <c r="O135" s="30"/>
      <c r="P135" s="30"/>
    </row>
    <row r="136" spans="1:17" x14ac:dyDescent="0.2">
      <c r="A136" s="91"/>
      <c r="B136" s="92"/>
      <c r="C136" s="92"/>
      <c r="D136" s="92"/>
      <c r="E136" s="92"/>
      <c r="F136" s="93"/>
      <c r="G136" s="92"/>
      <c r="H136" s="92"/>
      <c r="I136" s="96" t="e">
        <f>I135-I133</f>
        <v>#REF!</v>
      </c>
    </row>
    <row r="137" spans="1:17" x14ac:dyDescent="0.2">
      <c r="A137" s="84"/>
      <c r="B137" s="84"/>
      <c r="C137" s="84"/>
      <c r="D137" s="84"/>
      <c r="E137" s="84"/>
      <c r="F137" s="87"/>
      <c r="G137" s="244"/>
      <c r="H137" s="84"/>
      <c r="I137" s="87"/>
      <c r="L137" s="65"/>
      <c r="M137" s="30"/>
      <c r="N137" s="269"/>
      <c r="O137" s="30"/>
      <c r="P137" s="30"/>
    </row>
    <row r="139" spans="1:17" ht="19" x14ac:dyDescent="0.25">
      <c r="A139" s="79" t="s">
        <v>277</v>
      </c>
      <c r="B139" s="80"/>
      <c r="C139" s="80"/>
      <c r="D139" s="80"/>
      <c r="E139" s="80"/>
      <c r="F139" s="81"/>
      <c r="G139" s="80"/>
      <c r="H139" s="80"/>
      <c r="I139" s="81"/>
    </row>
    <row r="140" spans="1:17" ht="19" x14ac:dyDescent="0.25">
      <c r="A140" s="105"/>
      <c r="B140" s="84"/>
      <c r="C140" s="84"/>
      <c r="D140" s="84"/>
      <c r="E140" s="84"/>
      <c r="F140" s="87"/>
      <c r="G140" s="118"/>
      <c r="H140" s="271"/>
      <c r="I140" s="117" t="s">
        <v>278</v>
      </c>
    </row>
    <row r="141" spans="1:17" ht="80" x14ac:dyDescent="0.2">
      <c r="A141" s="90"/>
      <c r="B141" s="84"/>
      <c r="C141" s="84"/>
      <c r="D141" s="84"/>
      <c r="E141" s="84"/>
      <c r="F141" s="87"/>
      <c r="G141" s="103" t="s">
        <v>270</v>
      </c>
      <c r="H141" s="100"/>
      <c r="I141" s="100" t="s">
        <v>281</v>
      </c>
    </row>
    <row r="142" spans="1:17" x14ac:dyDescent="0.2">
      <c r="A142" s="90"/>
      <c r="B142" s="84"/>
      <c r="C142" s="84"/>
      <c r="D142" s="84"/>
      <c r="E142" s="84"/>
      <c r="F142" s="87"/>
      <c r="G142" s="89"/>
      <c r="H142" s="84"/>
      <c r="I142" s="87"/>
    </row>
    <row r="143" spans="1:17" x14ac:dyDescent="0.2">
      <c r="A143" s="90"/>
      <c r="B143" s="84"/>
      <c r="C143" s="101" t="s">
        <v>271</v>
      </c>
      <c r="D143" s="101"/>
      <c r="E143" s="101"/>
      <c r="F143" s="62"/>
      <c r="G143" s="102" t="e">
        <f>#REF!</f>
        <v>#REF!</v>
      </c>
      <c r="H143" s="88"/>
      <c r="I143" s="95" t="e">
        <f>G143/15*7</f>
        <v>#REF!</v>
      </c>
    </row>
    <row r="144" spans="1:17" x14ac:dyDescent="0.2">
      <c r="A144" s="90"/>
      <c r="B144" s="84"/>
      <c r="C144" s="101"/>
      <c r="D144" s="101"/>
      <c r="E144" s="101"/>
      <c r="F144" s="62"/>
      <c r="G144" s="102"/>
      <c r="H144" s="88"/>
      <c r="I144" s="95"/>
    </row>
    <row r="145" spans="1:9" x14ac:dyDescent="0.2">
      <c r="A145" s="90"/>
      <c r="B145" s="84"/>
      <c r="C145" s="101" t="s">
        <v>274</v>
      </c>
      <c r="D145" s="101"/>
      <c r="E145" s="101"/>
      <c r="F145" s="62"/>
      <c r="G145" s="102" t="e">
        <f>#REF!</f>
        <v>#REF!</v>
      </c>
      <c r="H145" s="88"/>
      <c r="I145" s="95" t="e">
        <f>G145/15*7</f>
        <v>#REF!</v>
      </c>
    </row>
    <row r="146" spans="1:9" x14ac:dyDescent="0.2">
      <c r="A146" s="90"/>
      <c r="B146" s="84"/>
      <c r="C146" s="101"/>
      <c r="D146" s="101"/>
      <c r="E146" s="101"/>
      <c r="F146" s="62"/>
      <c r="G146" s="89"/>
      <c r="H146" s="84"/>
      <c r="I146" s="95"/>
    </row>
    <row r="147" spans="1:9" x14ac:dyDescent="0.2">
      <c r="A147" s="90"/>
      <c r="B147" s="84"/>
      <c r="C147" s="101" t="s">
        <v>273</v>
      </c>
      <c r="D147" s="101"/>
      <c r="E147" s="101"/>
      <c r="F147" s="62"/>
      <c r="G147" s="102" t="e">
        <f>#REF!</f>
        <v>#REF!</v>
      </c>
      <c r="H147" s="88"/>
      <c r="I147" s="95" t="e">
        <f>G147/15*7</f>
        <v>#REF!</v>
      </c>
    </row>
    <row r="148" spans="1:9" x14ac:dyDescent="0.2">
      <c r="A148" s="90"/>
      <c r="B148" s="84"/>
      <c r="C148" s="84"/>
      <c r="D148" s="84"/>
      <c r="E148" s="84"/>
      <c r="F148" s="87"/>
      <c r="G148" s="102"/>
      <c r="H148" s="88"/>
      <c r="I148" s="96"/>
    </row>
    <row r="149" spans="1:9" x14ac:dyDescent="0.2">
      <c r="A149" s="91"/>
      <c r="B149" s="92"/>
      <c r="C149" s="92" t="s">
        <v>304</v>
      </c>
      <c r="D149" s="92"/>
      <c r="E149" s="92"/>
      <c r="F149" s="93"/>
      <c r="G149" s="92"/>
      <c r="H149" s="92"/>
      <c r="I149" s="93"/>
    </row>
    <row r="150" spans="1:9" x14ac:dyDescent="0.2">
      <c r="C150" s="195"/>
      <c r="D150" s="249"/>
      <c r="E150" s="249"/>
    </row>
    <row r="151" spans="1:9" x14ac:dyDescent="0.2">
      <c r="C151" s="195"/>
      <c r="D151" s="250"/>
      <c r="E151" s="250"/>
      <c r="F151" s="47"/>
      <c r="G151" s="172"/>
      <c r="H151" s="43"/>
    </row>
    <row r="152" spans="1:9" x14ac:dyDescent="0.2">
      <c r="C152" s="195"/>
      <c r="D152" s="250"/>
      <c r="E152" s="250"/>
      <c r="H152" s="43"/>
    </row>
    <row r="153" spans="1:9" x14ac:dyDescent="0.2">
      <c r="C153" s="251"/>
      <c r="D153" s="252"/>
      <c r="E153" s="252"/>
      <c r="H153" s="43"/>
    </row>
    <row r="154" spans="1:9" x14ac:dyDescent="0.2">
      <c r="C154" s="253"/>
      <c r="D154" s="252"/>
      <c r="E154" s="252"/>
      <c r="H154" s="43"/>
    </row>
    <row r="155" spans="1:9" x14ac:dyDescent="0.2">
      <c r="C155" s="195"/>
      <c r="D155" s="250"/>
      <c r="E155" s="250"/>
      <c r="H155" s="43"/>
    </row>
    <row r="156" spans="1:9" x14ac:dyDescent="0.2">
      <c r="C156" s="195"/>
      <c r="D156" s="250"/>
      <c r="E156" s="250"/>
      <c r="H156" s="43"/>
    </row>
    <row r="168" spans="3:9" ht="49" thickBot="1" x14ac:dyDescent="0.25">
      <c r="G168" s="38" t="s">
        <v>208</v>
      </c>
      <c r="H168" s="38"/>
      <c r="I168" s="38" t="s">
        <v>211</v>
      </c>
    </row>
    <row r="169" spans="3:9" ht="6" customHeight="1" x14ac:dyDescent="0.2"/>
    <row r="170" spans="3:9" x14ac:dyDescent="0.2">
      <c r="C170" t="s">
        <v>380</v>
      </c>
    </row>
    <row r="171" spans="3:9" ht="6" customHeight="1" x14ac:dyDescent="0.2"/>
    <row r="172" spans="3:9" x14ac:dyDescent="0.2">
      <c r="C172" t="s">
        <v>296</v>
      </c>
      <c r="G172" s="43">
        <v>40</v>
      </c>
      <c r="H172" s="43"/>
      <c r="I172" s="30">
        <v>1550</v>
      </c>
    </row>
    <row r="173" spans="3:9" x14ac:dyDescent="0.2">
      <c r="C173" t="s">
        <v>434</v>
      </c>
      <c r="G173" s="43">
        <v>75</v>
      </c>
      <c r="H173" s="43"/>
      <c r="I173" s="30">
        <v>984</v>
      </c>
    </row>
    <row r="174" spans="3:9" x14ac:dyDescent="0.2">
      <c r="C174" t="s">
        <v>178</v>
      </c>
      <c r="G174" s="43">
        <v>42</v>
      </c>
      <c r="H174" s="43"/>
      <c r="I174" s="30">
        <v>909</v>
      </c>
    </row>
    <row r="175" spans="3:9" x14ac:dyDescent="0.2">
      <c r="C175" t="s">
        <v>367</v>
      </c>
      <c r="G175" s="43">
        <v>68</v>
      </c>
      <c r="H175" s="43"/>
      <c r="I175" s="30">
        <v>890</v>
      </c>
    </row>
    <row r="176" spans="3:9" x14ac:dyDescent="0.2">
      <c r="C176" s="33" t="s">
        <v>368</v>
      </c>
      <c r="D176" s="33"/>
      <c r="E176" s="33"/>
      <c r="F176" s="61"/>
      <c r="G176" s="61">
        <v>55</v>
      </c>
      <c r="H176" s="61"/>
      <c r="I176" s="34">
        <v>756</v>
      </c>
    </row>
    <row r="177" spans="3:9" x14ac:dyDescent="0.2">
      <c r="C177" s="126" t="s">
        <v>437</v>
      </c>
      <c r="D177" s="126"/>
      <c r="E177" s="126"/>
      <c r="F177" s="64"/>
      <c r="G177" s="62">
        <v>60</v>
      </c>
      <c r="H177" s="62"/>
      <c r="I177" s="36">
        <v>712</v>
      </c>
    </row>
    <row r="178" spans="3:9" x14ac:dyDescent="0.2">
      <c r="C178" s="126" t="s">
        <v>433</v>
      </c>
      <c r="D178" s="126"/>
      <c r="E178" s="126"/>
      <c r="F178" s="64"/>
      <c r="G178" s="62" t="s">
        <v>11</v>
      </c>
      <c r="H178" s="62"/>
      <c r="I178" s="36">
        <v>650</v>
      </c>
    </row>
    <row r="179" spans="3:9" x14ac:dyDescent="0.2">
      <c r="C179" s="37" t="s">
        <v>303</v>
      </c>
      <c r="D179" s="37"/>
      <c r="E179" s="37"/>
      <c r="F179" s="63"/>
      <c r="G179" s="63">
        <v>58</v>
      </c>
      <c r="H179" s="63"/>
      <c r="I179" s="45">
        <v>575</v>
      </c>
    </row>
    <row r="180" spans="3:9" x14ac:dyDescent="0.2">
      <c r="C180" s="35" t="s">
        <v>435</v>
      </c>
      <c r="D180" s="35"/>
      <c r="E180" s="35"/>
      <c r="F180" s="62"/>
      <c r="G180" s="62">
        <v>32</v>
      </c>
      <c r="H180" s="62"/>
      <c r="I180" s="36">
        <v>546</v>
      </c>
    </row>
    <row r="181" spans="3:9" x14ac:dyDescent="0.2">
      <c r="C181" s="35" t="s">
        <v>436</v>
      </c>
      <c r="D181" s="35"/>
      <c r="E181" s="35"/>
      <c r="F181" s="62"/>
      <c r="G181" s="64">
        <v>67</v>
      </c>
      <c r="H181" s="64"/>
      <c r="I181" s="36">
        <v>496</v>
      </c>
    </row>
    <row r="182" spans="3:9" x14ac:dyDescent="0.2">
      <c r="C182" t="s">
        <v>440</v>
      </c>
      <c r="G182" s="43">
        <v>53</v>
      </c>
      <c r="H182" s="43"/>
      <c r="I182" s="30">
        <v>423</v>
      </c>
    </row>
    <row r="183" spans="3:9" x14ac:dyDescent="0.2">
      <c r="C183" s="35" t="s">
        <v>28</v>
      </c>
      <c r="D183" s="35"/>
      <c r="E183" s="35"/>
      <c r="F183" s="62"/>
      <c r="G183" s="62">
        <v>53</v>
      </c>
      <c r="H183" s="62"/>
      <c r="I183" s="36">
        <v>410</v>
      </c>
    </row>
    <row r="184" spans="3:9" x14ac:dyDescent="0.2">
      <c r="C184" s="35" t="s">
        <v>267</v>
      </c>
      <c r="D184" s="35"/>
      <c r="E184" s="35"/>
      <c r="F184" s="62"/>
      <c r="G184" s="62">
        <v>39</v>
      </c>
      <c r="H184" s="62"/>
      <c r="I184" s="36">
        <v>305</v>
      </c>
    </row>
    <row r="185" spans="3:9" x14ac:dyDescent="0.2">
      <c r="C185" t="s">
        <v>438</v>
      </c>
      <c r="G185" s="43">
        <v>39</v>
      </c>
      <c r="H185" s="43"/>
      <c r="I185" s="30">
        <v>275</v>
      </c>
    </row>
    <row r="186" spans="3:9" x14ac:dyDescent="0.2">
      <c r="C186" t="s">
        <v>439</v>
      </c>
      <c r="G186" s="43">
        <v>47</v>
      </c>
      <c r="H186" s="43"/>
      <c r="I186" s="30">
        <v>249</v>
      </c>
    </row>
    <row r="187" spans="3:9" x14ac:dyDescent="0.2">
      <c r="C187" t="s">
        <v>47</v>
      </c>
      <c r="G187" s="43">
        <v>31</v>
      </c>
      <c r="H187" s="43"/>
      <c r="I187" s="30">
        <v>121</v>
      </c>
    </row>
    <row r="188" spans="3:9" x14ac:dyDescent="0.2">
      <c r="I188" s="30"/>
    </row>
    <row r="189" spans="3:9" x14ac:dyDescent="0.2">
      <c r="I189" s="46">
        <f>SUM(I170:I187)</f>
        <v>9851</v>
      </c>
    </row>
    <row r="190" spans="3:9" x14ac:dyDescent="0.2">
      <c r="I190" s="157" t="s">
        <v>441</v>
      </c>
    </row>
  </sheetData>
  <pageMargins left="0.16" right="0.16" top="0.41000000000000009" bottom="0.8" header="0.5" footer="0.10999999999999999"/>
  <pageSetup paperSize="9" scale="51" fitToHeight="2" orientation="portrait"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79"/>
  <sheetViews>
    <sheetView showGridLines="0" workbookViewId="0">
      <pane xSplit="3" ySplit="8" topLeftCell="D21" activePane="bottomRight" state="frozenSplit"/>
      <selection pane="topRight" activeCell="D1" sqref="D1"/>
      <selection pane="bottomLeft" activeCell="A9" sqref="A9"/>
      <selection pane="bottomRight" activeCell="G33" sqref="G33"/>
    </sheetView>
  </sheetViews>
  <sheetFormatPr baseColWidth="10" defaultRowHeight="16" x14ac:dyDescent="0.2"/>
  <cols>
    <col min="1" max="1" width="2.83203125" customWidth="1"/>
    <col min="2" max="2" width="13.1640625" customWidth="1"/>
    <col min="3" max="3" width="46.6640625" customWidth="1"/>
    <col min="4" max="4" width="33.5" customWidth="1"/>
    <col min="5" max="5" width="15.5" customWidth="1"/>
    <col min="6" max="6" width="17.5" bestFit="1" customWidth="1"/>
    <col min="7" max="7" width="15.33203125" style="43" customWidth="1"/>
    <col min="8" max="8" width="10.83203125" style="47" customWidth="1"/>
    <col min="9" max="9" width="12.5" style="43" customWidth="1"/>
    <col min="10" max="10" width="7" customWidth="1"/>
    <col min="11" max="11" width="6.5" customWidth="1"/>
    <col min="12" max="12" width="10.6640625" style="43" customWidth="1"/>
    <col min="13" max="14" width="9.83203125" customWidth="1"/>
    <col min="15" max="17" width="10.83203125" style="43" customWidth="1"/>
    <col min="18" max="18" width="9.5" customWidth="1"/>
    <col min="19" max="19" width="10.1640625" style="139" customWidth="1"/>
    <col min="20" max="20" width="18.5" customWidth="1"/>
  </cols>
  <sheetData>
    <row r="1" spans="1:20" ht="24" x14ac:dyDescent="0.3">
      <c r="A1" s="119" t="s">
        <v>1961</v>
      </c>
      <c r="R1" t="s">
        <v>1121</v>
      </c>
    </row>
    <row r="2" spans="1:20" x14ac:dyDescent="0.2">
      <c r="A2" s="33" t="s">
        <v>1971</v>
      </c>
    </row>
    <row r="3" spans="1:20" ht="21" x14ac:dyDescent="0.25">
      <c r="A3" s="49"/>
      <c r="B3" s="32" t="s">
        <v>283</v>
      </c>
      <c r="O3" s="30"/>
    </row>
    <row r="4" spans="1:20" ht="21" x14ac:dyDescent="0.25">
      <c r="A4" s="49"/>
      <c r="C4" s="78" t="s">
        <v>251</v>
      </c>
      <c r="D4" s="78"/>
      <c r="E4" s="78"/>
      <c r="F4" s="78"/>
      <c r="G4" s="241"/>
      <c r="H4" s="507"/>
      <c r="I4" s="241"/>
      <c r="J4" s="78"/>
      <c r="K4" s="78"/>
      <c r="L4" s="241"/>
      <c r="M4" s="77">
        <v>2</v>
      </c>
      <c r="N4" s="77"/>
      <c r="O4" s="65" t="s">
        <v>1334</v>
      </c>
      <c r="P4" s="65"/>
    </row>
    <row r="5" spans="1:20" ht="21" x14ac:dyDescent="0.25">
      <c r="A5" s="49"/>
      <c r="C5" s="78" t="s">
        <v>252</v>
      </c>
      <c r="D5" s="78"/>
      <c r="E5" s="78"/>
      <c r="F5" s="78"/>
      <c r="G5" s="241"/>
      <c r="H5" s="507"/>
      <c r="I5" s="241"/>
      <c r="J5" s="78"/>
      <c r="K5" s="78"/>
      <c r="L5" s="241"/>
      <c r="M5" s="77">
        <v>0.27</v>
      </c>
      <c r="N5" s="77"/>
      <c r="O5" s="65" t="s">
        <v>1346</v>
      </c>
      <c r="P5" s="65"/>
    </row>
    <row r="6" spans="1:20" ht="21" x14ac:dyDescent="0.25">
      <c r="A6" s="49"/>
      <c r="C6" s="182"/>
      <c r="D6" s="78"/>
      <c r="E6" s="78"/>
      <c r="F6" s="78"/>
      <c r="G6" s="241"/>
      <c r="H6" s="507"/>
      <c r="I6" s="241"/>
      <c r="J6" s="78"/>
      <c r="K6" s="78"/>
      <c r="L6" s="241"/>
      <c r="M6" s="174"/>
      <c r="N6" s="174"/>
      <c r="O6" s="65" t="s">
        <v>1302</v>
      </c>
      <c r="P6" s="65"/>
    </row>
    <row r="7" spans="1:20" ht="21" x14ac:dyDescent="0.25">
      <c r="A7" s="49"/>
    </row>
    <row r="8" spans="1:20" ht="70" customHeight="1" thickBot="1" x14ac:dyDescent="0.3">
      <c r="A8" s="51"/>
      <c r="B8" s="505" t="s">
        <v>188</v>
      </c>
      <c r="C8" s="505" t="s">
        <v>2043</v>
      </c>
      <c r="D8" s="505" t="s">
        <v>31</v>
      </c>
      <c r="E8" s="38" t="s">
        <v>1944</v>
      </c>
      <c r="F8" s="38" t="s">
        <v>431</v>
      </c>
      <c r="G8" s="38" t="s">
        <v>1949</v>
      </c>
      <c r="H8" s="499" t="s">
        <v>1950</v>
      </c>
      <c r="I8" s="38" t="s">
        <v>1916</v>
      </c>
      <c r="J8" s="38" t="s">
        <v>1342</v>
      </c>
      <c r="K8" s="38" t="s">
        <v>1951</v>
      </c>
      <c r="L8" s="38" t="s">
        <v>430</v>
      </c>
      <c r="M8" s="38" t="s">
        <v>208</v>
      </c>
      <c r="N8" s="38" t="s">
        <v>510</v>
      </c>
      <c r="O8" s="38" t="s">
        <v>211</v>
      </c>
      <c r="P8" s="38" t="s">
        <v>1300</v>
      </c>
      <c r="Q8" s="38" t="s">
        <v>212</v>
      </c>
      <c r="R8" s="38" t="s">
        <v>249</v>
      </c>
      <c r="S8" s="499" t="s">
        <v>250</v>
      </c>
      <c r="T8" s="38" t="s">
        <v>512</v>
      </c>
    </row>
    <row r="9" spans="1:20" s="56" customFormat="1" ht="19" customHeight="1" x14ac:dyDescent="0.2">
      <c r="A9" s="54"/>
      <c r="B9" s="572" t="s">
        <v>24</v>
      </c>
      <c r="C9" s="56" t="s">
        <v>2039</v>
      </c>
      <c r="D9" s="56" t="s">
        <v>2048</v>
      </c>
      <c r="E9" s="56" t="s">
        <v>2053</v>
      </c>
      <c r="F9" s="56" t="s">
        <v>387</v>
      </c>
      <c r="G9" s="57">
        <v>2011</v>
      </c>
      <c r="H9" s="276">
        <v>1</v>
      </c>
      <c r="I9" s="57"/>
      <c r="L9" s="57"/>
      <c r="N9" s="191"/>
      <c r="O9" s="121">
        <v>6166</v>
      </c>
      <c r="P9" s="121">
        <v>1167</v>
      </c>
      <c r="Q9" s="121">
        <v>12500</v>
      </c>
      <c r="R9" s="275">
        <v>1971</v>
      </c>
      <c r="S9" s="245">
        <f>R9/O9</f>
        <v>0.31965617904638338</v>
      </c>
    </row>
    <row r="10" spans="1:20" s="43" customFormat="1" ht="19" customHeight="1" x14ac:dyDescent="0.2">
      <c r="A10" s="54"/>
      <c r="B10" s="33" t="s">
        <v>200</v>
      </c>
      <c r="C10" t="s">
        <v>2040</v>
      </c>
      <c r="D10" s="56" t="s">
        <v>2048</v>
      </c>
      <c r="E10" s="56" t="s">
        <v>2053</v>
      </c>
      <c r="F10" s="56" t="s">
        <v>387</v>
      </c>
      <c r="G10" s="57">
        <v>2011</v>
      </c>
      <c r="H10" s="276">
        <v>1</v>
      </c>
      <c r="J10"/>
      <c r="K10"/>
      <c r="M10"/>
      <c r="N10" s="60"/>
      <c r="O10" s="44">
        <v>6227</v>
      </c>
      <c r="P10" s="44">
        <f>Hotel!C31</f>
        <v>0</v>
      </c>
      <c r="Q10" s="44">
        <v>13531</v>
      </c>
      <c r="R10" s="30">
        <v>2256</v>
      </c>
      <c r="S10" s="139">
        <f>R10/O10</f>
        <v>0.36229323911996147</v>
      </c>
      <c r="T10"/>
    </row>
    <row r="11" spans="1:20" s="43" customFormat="1" ht="19" customHeight="1" x14ac:dyDescent="0.2">
      <c r="A11" s="54"/>
      <c r="B11" s="33" t="s">
        <v>199</v>
      </c>
      <c r="C11" t="s">
        <v>2041</v>
      </c>
      <c r="D11" s="56" t="s">
        <v>2048</v>
      </c>
      <c r="E11" s="56" t="s">
        <v>2053</v>
      </c>
      <c r="F11" s="56" t="s">
        <v>387</v>
      </c>
      <c r="G11" s="57">
        <v>2011</v>
      </c>
      <c r="H11" s="276">
        <v>1</v>
      </c>
      <c r="J11"/>
      <c r="K11"/>
      <c r="M11"/>
      <c r="N11" s="60"/>
      <c r="O11" s="30">
        <v>6231</v>
      </c>
      <c r="P11" s="30">
        <v>0</v>
      </c>
      <c r="Q11" s="30">
        <v>14220</v>
      </c>
      <c r="R11" s="30">
        <v>2291</v>
      </c>
      <c r="S11" s="139">
        <f>R11/O11</f>
        <v>0.36767774033060502</v>
      </c>
      <c r="T11"/>
    </row>
    <row r="12" spans="1:20" s="43" customFormat="1" ht="19" customHeight="1" x14ac:dyDescent="0.25">
      <c r="A12" s="51"/>
      <c r="B12" s="33" t="s">
        <v>1534</v>
      </c>
      <c r="C12" t="s">
        <v>2042</v>
      </c>
      <c r="D12" s="56" t="s">
        <v>2048</v>
      </c>
      <c r="E12" s="56" t="s">
        <v>2053</v>
      </c>
      <c r="F12" s="56" t="s">
        <v>387</v>
      </c>
      <c r="G12" s="57">
        <v>2011</v>
      </c>
      <c r="H12" s="276">
        <v>1</v>
      </c>
      <c r="J12"/>
      <c r="K12"/>
      <c r="M12"/>
      <c r="N12" s="60"/>
      <c r="O12" s="30">
        <v>2445</v>
      </c>
      <c r="P12" s="30"/>
      <c r="Q12" s="30">
        <v>6957</v>
      </c>
      <c r="R12" s="30">
        <v>1797</v>
      </c>
      <c r="S12" s="139">
        <f>R12/O12</f>
        <v>0.73496932515337421</v>
      </c>
      <c r="T12"/>
    </row>
    <row r="13" spans="1:20" ht="19" customHeight="1" x14ac:dyDescent="0.25">
      <c r="A13" s="51"/>
      <c r="B13" s="33" t="s">
        <v>24</v>
      </c>
      <c r="C13" t="s">
        <v>469</v>
      </c>
      <c r="D13" t="s">
        <v>471</v>
      </c>
      <c r="E13" t="s">
        <v>196</v>
      </c>
      <c r="F13" s="126" t="s">
        <v>387</v>
      </c>
      <c r="G13" s="552">
        <v>2011</v>
      </c>
      <c r="H13" s="47">
        <v>1</v>
      </c>
      <c r="J13" t="s">
        <v>1119</v>
      </c>
      <c r="L13" s="43" t="s">
        <v>574</v>
      </c>
      <c r="M13" s="43">
        <v>48</v>
      </c>
      <c r="N13" s="30"/>
      <c r="O13" s="540">
        <f>(430+356)*0.5</f>
        <v>393</v>
      </c>
      <c r="P13" s="30"/>
      <c r="Q13" s="529">
        <f>O13*$M$4</f>
        <v>786</v>
      </c>
      <c r="R13" s="34"/>
      <c r="T13" s="56" t="s">
        <v>518</v>
      </c>
    </row>
    <row r="14" spans="1:20" ht="19" customHeight="1" x14ac:dyDescent="0.25">
      <c r="A14" s="51"/>
      <c r="B14" s="33" t="s">
        <v>24</v>
      </c>
      <c r="C14" t="s">
        <v>1979</v>
      </c>
      <c r="D14" t="s">
        <v>471</v>
      </c>
      <c r="E14" s="65" t="s">
        <v>196</v>
      </c>
      <c r="F14" s="126" t="s">
        <v>387</v>
      </c>
      <c r="G14" s="552">
        <v>2011</v>
      </c>
      <c r="H14" s="47">
        <v>1</v>
      </c>
      <c r="J14" t="s">
        <v>1119</v>
      </c>
      <c r="L14" s="43" t="s">
        <v>1980</v>
      </c>
      <c r="M14" s="43">
        <v>23</v>
      </c>
      <c r="N14" s="30"/>
      <c r="O14" s="540">
        <f>199*0.5</f>
        <v>99.5</v>
      </c>
      <c r="P14" s="30"/>
      <c r="Q14" s="529">
        <f>O14*$M$4</f>
        <v>199</v>
      </c>
      <c r="R14" s="424">
        <f>(O14+O13)*$M$5</f>
        <v>132.97500000000002</v>
      </c>
      <c r="S14" s="139">
        <f>R14/O14</f>
        <v>1.3364321608040204</v>
      </c>
      <c r="T14" s="56" t="s">
        <v>518</v>
      </c>
    </row>
    <row r="15" spans="1:20" ht="19" customHeight="1" x14ac:dyDescent="0.25">
      <c r="A15" s="51"/>
      <c r="B15" s="33" t="s">
        <v>24</v>
      </c>
      <c r="C15" t="s">
        <v>470</v>
      </c>
      <c r="D15" t="s">
        <v>1982</v>
      </c>
      <c r="E15" t="s">
        <v>196</v>
      </c>
      <c r="F15" s="126" t="s">
        <v>387</v>
      </c>
      <c r="G15" s="552">
        <v>2011</v>
      </c>
      <c r="H15" s="47">
        <v>1</v>
      </c>
      <c r="J15" t="s">
        <v>1119</v>
      </c>
      <c r="L15" s="43" t="s">
        <v>573</v>
      </c>
      <c r="M15" s="43">
        <v>45</v>
      </c>
      <c r="N15" s="30"/>
      <c r="O15" s="540">
        <f>804*0.5</f>
        <v>402</v>
      </c>
      <c r="P15" s="30"/>
      <c r="Q15" s="529">
        <f>O15*$M$4</f>
        <v>804</v>
      </c>
      <c r="R15" s="529">
        <f>O15*$M$5</f>
        <v>108.54</v>
      </c>
      <c r="S15" s="139">
        <f>R15/O15</f>
        <v>0.27</v>
      </c>
      <c r="T15" s="39" t="s">
        <v>1994</v>
      </c>
    </row>
    <row r="16" spans="1:20" ht="19" customHeight="1" x14ac:dyDescent="0.25">
      <c r="A16" s="51"/>
      <c r="B16" s="33" t="s">
        <v>24</v>
      </c>
      <c r="C16" t="s">
        <v>1297</v>
      </c>
      <c r="D16" t="s">
        <v>1301</v>
      </c>
      <c r="E16" t="s">
        <v>96</v>
      </c>
      <c r="F16" s="126" t="s">
        <v>387</v>
      </c>
      <c r="G16" s="552">
        <v>2011</v>
      </c>
      <c r="H16" s="47">
        <v>1</v>
      </c>
      <c r="J16" t="s">
        <v>1119</v>
      </c>
      <c r="N16" s="60"/>
      <c r="O16" s="30">
        <v>300</v>
      </c>
      <c r="P16" s="30"/>
      <c r="Q16" s="529">
        <f>O16*$M$4</f>
        <v>600</v>
      </c>
      <c r="R16" s="424">
        <f>O16*$M$5</f>
        <v>81</v>
      </c>
      <c r="S16" s="139">
        <f>R16/O16</f>
        <v>0.27</v>
      </c>
      <c r="T16" s="56"/>
    </row>
    <row r="17" spans="1:20" ht="19" customHeight="1" x14ac:dyDescent="0.25">
      <c r="A17" s="51"/>
      <c r="B17" s="33" t="s">
        <v>24</v>
      </c>
      <c r="C17" t="s">
        <v>530</v>
      </c>
      <c r="D17" t="s">
        <v>467</v>
      </c>
      <c r="E17" t="s">
        <v>96</v>
      </c>
      <c r="F17" s="126" t="s">
        <v>387</v>
      </c>
      <c r="G17" s="552">
        <v>2014</v>
      </c>
      <c r="H17" s="47">
        <v>1</v>
      </c>
      <c r="J17" t="s">
        <v>1119</v>
      </c>
      <c r="N17" s="60"/>
      <c r="O17" s="30">
        <v>56</v>
      </c>
      <c r="P17" s="30"/>
      <c r="Q17" s="30">
        <f>O17*$M$4</f>
        <v>112</v>
      </c>
      <c r="R17" s="424">
        <f>O17*$M$5</f>
        <v>15.120000000000001</v>
      </c>
      <c r="S17" s="139">
        <f>R17/O17</f>
        <v>0.27</v>
      </c>
      <c r="T17" s="39"/>
    </row>
    <row r="18" spans="1:20" ht="19" customHeight="1" x14ac:dyDescent="0.25">
      <c r="A18" s="51"/>
      <c r="B18" s="33" t="s">
        <v>24</v>
      </c>
      <c r="C18" t="s">
        <v>1163</v>
      </c>
      <c r="D18" s="126" t="s">
        <v>462</v>
      </c>
      <c r="E18" s="126" t="s">
        <v>1943</v>
      </c>
      <c r="F18" s="126" t="s">
        <v>387</v>
      </c>
      <c r="G18" s="553">
        <v>2015</v>
      </c>
      <c r="H18" s="47">
        <v>1</v>
      </c>
      <c r="I18" s="64" t="s">
        <v>386</v>
      </c>
      <c r="J18" s="126" t="s">
        <v>1119</v>
      </c>
      <c r="K18" s="126" t="s">
        <v>1934</v>
      </c>
      <c r="M18" s="43">
        <v>3</v>
      </c>
      <c r="N18" s="30"/>
      <c r="P18" s="43">
        <v>130</v>
      </c>
      <c r="Q18" s="30"/>
      <c r="R18" s="30"/>
    </row>
    <row r="19" spans="1:20" ht="19" customHeight="1" x14ac:dyDescent="0.25">
      <c r="A19" s="51"/>
      <c r="B19" s="33" t="s">
        <v>24</v>
      </c>
      <c r="C19" s="33" t="s">
        <v>1150</v>
      </c>
      <c r="D19" t="s">
        <v>1936</v>
      </c>
      <c r="E19" t="s">
        <v>1943</v>
      </c>
      <c r="F19" t="s">
        <v>1917</v>
      </c>
      <c r="G19" s="552">
        <v>2024</v>
      </c>
      <c r="H19" s="47">
        <v>0.8</v>
      </c>
      <c r="I19" s="43" t="s">
        <v>1923</v>
      </c>
      <c r="J19" t="s">
        <v>1919</v>
      </c>
      <c r="K19" t="s">
        <v>1919</v>
      </c>
      <c r="L19" s="43" t="s">
        <v>2059</v>
      </c>
      <c r="M19" s="43">
        <v>66</v>
      </c>
      <c r="N19" s="60"/>
      <c r="O19" s="30">
        <v>1639</v>
      </c>
      <c r="P19" s="30"/>
      <c r="Q19" s="30">
        <f t="shared" ref="Q19:Q28" si="0">O19*$M$4</f>
        <v>3278</v>
      </c>
      <c r="R19" s="529">
        <f>O19*$M$5</f>
        <v>442.53000000000003</v>
      </c>
      <c r="S19" s="139">
        <f t="shared" ref="S19:S28" si="1">R19/O19</f>
        <v>0.27</v>
      </c>
      <c r="T19" t="s">
        <v>668</v>
      </c>
    </row>
    <row r="20" spans="1:20" ht="19" customHeight="1" x14ac:dyDescent="0.25">
      <c r="A20" s="51"/>
      <c r="B20" s="33" t="s">
        <v>24</v>
      </c>
      <c r="C20" s="37" t="s">
        <v>1922</v>
      </c>
      <c r="D20" s="173" t="s">
        <v>1925</v>
      </c>
      <c r="E20" s="173" t="s">
        <v>1943</v>
      </c>
      <c r="F20" s="173" t="s">
        <v>1927</v>
      </c>
      <c r="G20" s="555">
        <v>2021</v>
      </c>
      <c r="H20" s="510">
        <v>1</v>
      </c>
      <c r="I20" s="506" t="s">
        <v>1923</v>
      </c>
      <c r="J20" s="173" t="s">
        <v>1119</v>
      </c>
      <c r="K20" s="173" t="s">
        <v>1119</v>
      </c>
      <c r="L20" s="63" t="s">
        <v>492</v>
      </c>
      <c r="M20" s="63">
        <v>67</v>
      </c>
      <c r="N20" s="183"/>
      <c r="O20" s="45">
        <v>861</v>
      </c>
      <c r="P20" s="45"/>
      <c r="Q20" s="30">
        <f t="shared" si="0"/>
        <v>1722</v>
      </c>
      <c r="R20" s="529">
        <f>VLOOKUP(C20,'Ward Analysis'!C:V,20,FALSE)</f>
        <v>101</v>
      </c>
      <c r="S20" s="139">
        <f t="shared" si="1"/>
        <v>0.1173054587688734</v>
      </c>
      <c r="T20" s="56" t="s">
        <v>1124</v>
      </c>
    </row>
    <row r="21" spans="1:20" ht="19" customHeight="1" x14ac:dyDescent="0.25">
      <c r="A21" s="51"/>
      <c r="B21" s="33" t="s">
        <v>24</v>
      </c>
      <c r="C21" s="175" t="s">
        <v>298</v>
      </c>
      <c r="D21" t="s">
        <v>1276</v>
      </c>
      <c r="E21" t="s">
        <v>196</v>
      </c>
      <c r="F21" t="s">
        <v>1121</v>
      </c>
      <c r="G21" s="552">
        <v>2020</v>
      </c>
      <c r="H21" s="47">
        <v>1</v>
      </c>
      <c r="I21" s="43" t="s">
        <v>1923</v>
      </c>
      <c r="J21" t="s">
        <v>1119</v>
      </c>
      <c r="K21" t="s">
        <v>1119</v>
      </c>
      <c r="L21" s="43" t="s">
        <v>1153</v>
      </c>
      <c r="M21" s="43">
        <v>68</v>
      </c>
      <c r="N21" s="30">
        <v>2140</v>
      </c>
      <c r="O21" s="30">
        <v>888</v>
      </c>
      <c r="P21" s="30"/>
      <c r="Q21" s="30">
        <f>O21*$M$4</f>
        <v>1776</v>
      </c>
      <c r="R21" s="30">
        <v>227</v>
      </c>
      <c r="S21" s="139">
        <f t="shared" si="1"/>
        <v>0.25563063063063063</v>
      </c>
      <c r="T21" s="39" t="s">
        <v>520</v>
      </c>
    </row>
    <row r="22" spans="1:20" ht="19" customHeight="1" x14ac:dyDescent="0.25">
      <c r="A22" s="51"/>
      <c r="B22" s="33" t="s">
        <v>24</v>
      </c>
      <c r="C22" s="175" t="s">
        <v>1854</v>
      </c>
      <c r="D22" t="s">
        <v>412</v>
      </c>
      <c r="E22" t="s">
        <v>196</v>
      </c>
      <c r="F22" t="s">
        <v>412</v>
      </c>
      <c r="G22" s="552">
        <v>2025</v>
      </c>
      <c r="H22" s="47">
        <v>0.6</v>
      </c>
      <c r="I22" s="43" t="s">
        <v>1923</v>
      </c>
      <c r="J22" t="s">
        <v>1119</v>
      </c>
      <c r="K22" t="s">
        <v>11</v>
      </c>
      <c r="L22" s="43" t="s">
        <v>1267</v>
      </c>
      <c r="M22" s="43">
        <v>56</v>
      </c>
      <c r="N22" s="30"/>
      <c r="O22" s="30">
        <v>396</v>
      </c>
      <c r="P22" s="30"/>
      <c r="Q22" s="30">
        <f t="shared" si="0"/>
        <v>792</v>
      </c>
      <c r="R22" s="529">
        <f>VLOOKUP(C22,'Ward Analysis'!C:V,20,FALSE)</f>
        <v>95</v>
      </c>
      <c r="S22" s="139">
        <f t="shared" si="1"/>
        <v>0.23989898989898989</v>
      </c>
      <c r="T22" s="39" t="s">
        <v>520</v>
      </c>
    </row>
    <row r="23" spans="1:20" ht="19" customHeight="1" x14ac:dyDescent="0.25">
      <c r="A23" s="51"/>
      <c r="B23" s="33" t="s">
        <v>24</v>
      </c>
      <c r="C23" s="178" t="s">
        <v>437</v>
      </c>
      <c r="D23" s="126" t="s">
        <v>1933</v>
      </c>
      <c r="E23" s="126" t="s">
        <v>196</v>
      </c>
      <c r="F23" s="126" t="s">
        <v>412</v>
      </c>
      <c r="G23" s="553">
        <v>2023</v>
      </c>
      <c r="H23" s="513">
        <v>0.9</v>
      </c>
      <c r="I23" s="64" t="s">
        <v>1923</v>
      </c>
      <c r="J23" s="126" t="s">
        <v>1119</v>
      </c>
      <c r="K23" s="126" t="s">
        <v>1919</v>
      </c>
      <c r="L23" s="64" t="s">
        <v>1353</v>
      </c>
      <c r="M23" s="62">
        <v>60</v>
      </c>
      <c r="N23" s="36"/>
      <c r="O23" s="36">
        <v>634</v>
      </c>
      <c r="P23" s="36">
        <v>273</v>
      </c>
      <c r="Q23" s="30">
        <f t="shared" si="0"/>
        <v>1268</v>
      </c>
      <c r="R23" s="30">
        <v>120</v>
      </c>
      <c r="S23" s="139">
        <f t="shared" si="1"/>
        <v>0.1892744479495268</v>
      </c>
      <c r="T23" t="s">
        <v>527</v>
      </c>
    </row>
    <row r="24" spans="1:20" ht="19" customHeight="1" x14ac:dyDescent="0.25">
      <c r="A24" s="51"/>
      <c r="B24" s="33" t="s">
        <v>24</v>
      </c>
      <c r="C24" s="175" t="s">
        <v>1152</v>
      </c>
      <c r="D24" s="126" t="s">
        <v>412</v>
      </c>
      <c r="E24" s="126" t="s">
        <v>196</v>
      </c>
      <c r="F24" s="126" t="s">
        <v>412</v>
      </c>
      <c r="G24" s="553">
        <v>2022</v>
      </c>
      <c r="H24" s="513">
        <v>0.9</v>
      </c>
      <c r="I24" s="64" t="s">
        <v>1923</v>
      </c>
      <c r="J24" s="126" t="s">
        <v>1119</v>
      </c>
      <c r="K24" s="126" t="s">
        <v>1919</v>
      </c>
      <c r="M24" s="43">
        <v>41</v>
      </c>
      <c r="N24" s="30"/>
      <c r="O24" s="30">
        <v>216</v>
      </c>
      <c r="P24" s="30"/>
      <c r="Q24" s="30">
        <f t="shared" si="0"/>
        <v>432</v>
      </c>
      <c r="R24" s="529">
        <f>VLOOKUP(C24,'Ward Analysis'!C:V,20,FALSE)</f>
        <v>77</v>
      </c>
      <c r="S24" s="139">
        <f t="shared" si="1"/>
        <v>0.35648148148148145</v>
      </c>
      <c r="T24" t="s">
        <v>11</v>
      </c>
    </row>
    <row r="25" spans="1:20" ht="19" customHeight="1" x14ac:dyDescent="0.25">
      <c r="A25" s="51"/>
      <c r="B25" s="33" t="s">
        <v>24</v>
      </c>
      <c r="C25" s="175" t="s">
        <v>1335</v>
      </c>
      <c r="D25" t="s">
        <v>1935</v>
      </c>
      <c r="E25" s="126" t="s">
        <v>196</v>
      </c>
      <c r="F25" s="126" t="s">
        <v>412</v>
      </c>
      <c r="G25" s="552">
        <v>2025</v>
      </c>
      <c r="H25" s="47">
        <v>0.9</v>
      </c>
      <c r="I25" s="64" t="s">
        <v>1930</v>
      </c>
      <c r="J25" s="126" t="s">
        <v>1119</v>
      </c>
      <c r="K25" s="126" t="s">
        <v>1934</v>
      </c>
      <c r="M25" s="43">
        <v>10</v>
      </c>
      <c r="N25" s="60"/>
      <c r="O25" s="30">
        <v>206</v>
      </c>
      <c r="P25" s="30"/>
      <c r="Q25" s="30">
        <f t="shared" si="0"/>
        <v>412</v>
      </c>
      <c r="R25" s="529">
        <f>O25*$M$5</f>
        <v>55.620000000000005</v>
      </c>
      <c r="S25" s="139">
        <f t="shared" si="1"/>
        <v>0.27</v>
      </c>
      <c r="T25" t="s">
        <v>11</v>
      </c>
    </row>
    <row r="26" spans="1:20" ht="19" customHeight="1" x14ac:dyDescent="0.25">
      <c r="A26" s="51"/>
      <c r="B26" s="33" t="s">
        <v>24</v>
      </c>
      <c r="C26" s="175" t="s">
        <v>1920</v>
      </c>
      <c r="D26" t="s">
        <v>1924</v>
      </c>
      <c r="E26" t="s">
        <v>196</v>
      </c>
      <c r="F26" t="s">
        <v>1121</v>
      </c>
      <c r="G26" s="552">
        <v>2020</v>
      </c>
      <c r="H26" s="47">
        <v>1</v>
      </c>
      <c r="I26" s="43" t="s">
        <v>1921</v>
      </c>
      <c r="J26" t="s">
        <v>1119</v>
      </c>
      <c r="K26" t="s">
        <v>1119</v>
      </c>
      <c r="L26" s="43" t="s">
        <v>493</v>
      </c>
      <c r="M26" s="43">
        <v>75</v>
      </c>
      <c r="N26" s="30">
        <v>5803</v>
      </c>
      <c r="O26" s="30">
        <v>984</v>
      </c>
      <c r="P26" s="30"/>
      <c r="Q26" s="30">
        <f t="shared" si="0"/>
        <v>1968</v>
      </c>
      <c r="R26" s="30">
        <v>61</v>
      </c>
      <c r="S26" s="139">
        <f t="shared" si="1"/>
        <v>6.1991869918699184E-2</v>
      </c>
      <c r="T26" s="56" t="s">
        <v>516</v>
      </c>
    </row>
    <row r="27" spans="1:20" ht="19" customHeight="1" x14ac:dyDescent="0.25">
      <c r="A27" s="51"/>
      <c r="B27" s="33" t="s">
        <v>24</v>
      </c>
      <c r="C27" s="175" t="s">
        <v>1503</v>
      </c>
      <c r="D27" s="33" t="s">
        <v>446</v>
      </c>
      <c r="E27" s="33" t="s">
        <v>196</v>
      </c>
      <c r="F27" s="33" t="s">
        <v>1121</v>
      </c>
      <c r="G27" s="556">
        <v>2021</v>
      </c>
      <c r="H27" s="47">
        <v>1</v>
      </c>
      <c r="I27" s="61" t="s">
        <v>1923</v>
      </c>
      <c r="J27" s="33" t="s">
        <v>1119</v>
      </c>
      <c r="K27" s="33" t="s">
        <v>1119</v>
      </c>
      <c r="L27" s="61" t="s">
        <v>499</v>
      </c>
      <c r="M27" s="61">
        <v>55</v>
      </c>
      <c r="N27" s="34">
        <v>3357</v>
      </c>
      <c r="O27" s="34">
        <v>756</v>
      </c>
      <c r="P27" s="34"/>
      <c r="Q27" s="30">
        <f t="shared" si="0"/>
        <v>1512</v>
      </c>
      <c r="R27" s="30">
        <v>165</v>
      </c>
      <c r="S27" s="139">
        <f t="shared" si="1"/>
        <v>0.21825396825396826</v>
      </c>
      <c r="T27" s="56" t="s">
        <v>519</v>
      </c>
    </row>
    <row r="28" spans="1:20" ht="19" customHeight="1" x14ac:dyDescent="0.25">
      <c r="A28" s="51"/>
      <c r="B28" s="33" t="s">
        <v>24</v>
      </c>
      <c r="C28" s="176" t="s">
        <v>1136</v>
      </c>
      <c r="D28" s="37" t="s">
        <v>457</v>
      </c>
      <c r="E28" s="37" t="s">
        <v>196</v>
      </c>
      <c r="F28" s="37" t="s">
        <v>1121</v>
      </c>
      <c r="G28" s="557">
        <v>2020</v>
      </c>
      <c r="H28" s="512">
        <v>1</v>
      </c>
      <c r="I28" s="63" t="s">
        <v>1930</v>
      </c>
      <c r="J28" s="37" t="s">
        <v>1119</v>
      </c>
      <c r="K28" s="37" t="s">
        <v>1930</v>
      </c>
      <c r="L28" s="63" t="s">
        <v>494</v>
      </c>
      <c r="M28" s="63">
        <v>58</v>
      </c>
      <c r="N28" s="183">
        <v>2738</v>
      </c>
      <c r="O28" s="45">
        <v>575</v>
      </c>
      <c r="P28" s="45"/>
      <c r="Q28" s="30">
        <f t="shared" si="0"/>
        <v>1150</v>
      </c>
      <c r="R28" s="30">
        <v>1</v>
      </c>
      <c r="S28" s="139">
        <f t="shared" si="1"/>
        <v>1.7391304347826088E-3</v>
      </c>
      <c r="T28" t="s">
        <v>668</v>
      </c>
    </row>
    <row r="29" spans="1:20" ht="19" customHeight="1" x14ac:dyDescent="0.25">
      <c r="A29" s="51"/>
      <c r="B29" s="33" t="s">
        <v>24</v>
      </c>
      <c r="C29" s="177" t="s">
        <v>1311</v>
      </c>
      <c r="D29" s="126" t="s">
        <v>1932</v>
      </c>
      <c r="E29" s="126" t="s">
        <v>196</v>
      </c>
      <c r="F29" s="126" t="s">
        <v>1121</v>
      </c>
      <c r="G29" s="553">
        <v>2017</v>
      </c>
      <c r="H29" s="513">
        <v>1</v>
      </c>
      <c r="I29" s="64" t="s">
        <v>386</v>
      </c>
      <c r="J29" s="126" t="s">
        <v>1119</v>
      </c>
      <c r="K29" s="126" t="s">
        <v>1934</v>
      </c>
      <c r="L29" s="62" t="s">
        <v>528</v>
      </c>
      <c r="M29" s="62">
        <v>39</v>
      </c>
      <c r="N29" s="36"/>
      <c r="O29" s="36"/>
      <c r="P29" s="36">
        <v>305</v>
      </c>
      <c r="Q29" s="30"/>
      <c r="R29" s="30"/>
      <c r="T29" s="39" t="s">
        <v>1329</v>
      </c>
    </row>
    <row r="30" spans="1:20" ht="19" customHeight="1" x14ac:dyDescent="0.25">
      <c r="A30" s="51"/>
      <c r="B30" s="33" t="s">
        <v>24</v>
      </c>
      <c r="C30" s="177" t="s">
        <v>451</v>
      </c>
      <c r="D30" s="126" t="s">
        <v>1931</v>
      </c>
      <c r="E30" s="126" t="s">
        <v>196</v>
      </c>
      <c r="F30" s="126" t="s">
        <v>1917</v>
      </c>
      <c r="G30" s="553">
        <v>2025</v>
      </c>
      <c r="H30" s="513">
        <v>0.5</v>
      </c>
      <c r="I30" s="64" t="s">
        <v>1923</v>
      </c>
      <c r="J30" s="126" t="s">
        <v>1919</v>
      </c>
      <c r="K30" s="126" t="s">
        <v>1919</v>
      </c>
      <c r="L30" s="62" t="s">
        <v>11</v>
      </c>
      <c r="M30" s="62">
        <v>43</v>
      </c>
      <c r="N30" s="36"/>
      <c r="O30" s="36">
        <v>275</v>
      </c>
      <c r="P30" s="36"/>
      <c r="Q30" s="30">
        <f t="shared" ref="Q30:Q39" si="2">O30*$M$4</f>
        <v>550</v>
      </c>
      <c r="R30" s="529">
        <f>O30*$M$5</f>
        <v>74.25</v>
      </c>
      <c r="S30" s="139">
        <f t="shared" ref="S30:S61" si="3">R30/O30</f>
        <v>0.27</v>
      </c>
      <c r="T30" s="39" t="s">
        <v>11</v>
      </c>
    </row>
    <row r="31" spans="1:20" ht="19" customHeight="1" x14ac:dyDescent="0.25">
      <c r="A31" s="51"/>
      <c r="B31" s="33" t="s">
        <v>24</v>
      </c>
      <c r="C31" s="175" t="s">
        <v>296</v>
      </c>
      <c r="D31" t="s">
        <v>412</v>
      </c>
      <c r="E31" t="s">
        <v>96</v>
      </c>
      <c r="F31" t="s">
        <v>412</v>
      </c>
      <c r="G31" s="552">
        <v>2026</v>
      </c>
      <c r="H31" s="47">
        <v>0.6</v>
      </c>
      <c r="I31" s="43" t="s">
        <v>1923</v>
      </c>
      <c r="J31" t="s">
        <v>1119</v>
      </c>
      <c r="K31" t="s">
        <v>1919</v>
      </c>
      <c r="M31" s="43">
        <v>44</v>
      </c>
      <c r="N31" s="30">
        <v>1875</v>
      </c>
      <c r="O31" s="30">
        <v>1513</v>
      </c>
      <c r="P31" s="30"/>
      <c r="Q31" s="30">
        <f t="shared" si="2"/>
        <v>3026</v>
      </c>
      <c r="R31" s="30">
        <v>507</v>
      </c>
      <c r="S31" s="139">
        <f t="shared" si="3"/>
        <v>0.33509583608724386</v>
      </c>
      <c r="T31" s="39" t="s">
        <v>511</v>
      </c>
    </row>
    <row r="32" spans="1:20" ht="19" customHeight="1" x14ac:dyDescent="0.25">
      <c r="A32" s="51"/>
      <c r="B32" s="33" t="s">
        <v>24</v>
      </c>
      <c r="C32" s="35" t="s">
        <v>435</v>
      </c>
      <c r="D32" s="35" t="s">
        <v>482</v>
      </c>
      <c r="E32" s="35" t="s">
        <v>96</v>
      </c>
      <c r="F32" s="35" t="s">
        <v>387</v>
      </c>
      <c r="G32" s="558">
        <v>2016</v>
      </c>
      <c r="H32" s="511">
        <v>1</v>
      </c>
      <c r="I32" s="64" t="s">
        <v>1923</v>
      </c>
      <c r="J32" s="35" t="s">
        <v>1119</v>
      </c>
      <c r="K32" s="126" t="s">
        <v>1119</v>
      </c>
      <c r="L32" s="62" t="s">
        <v>524</v>
      </c>
      <c r="M32" s="62">
        <v>32</v>
      </c>
      <c r="N32" s="36">
        <v>1528</v>
      </c>
      <c r="O32" s="36">
        <v>546</v>
      </c>
      <c r="P32" s="36"/>
      <c r="Q32" s="30">
        <f t="shared" si="2"/>
        <v>1092</v>
      </c>
      <c r="R32" s="30">
        <v>168</v>
      </c>
      <c r="S32" s="139">
        <f t="shared" si="3"/>
        <v>0.30769230769230771</v>
      </c>
      <c r="T32" s="39" t="s">
        <v>511</v>
      </c>
    </row>
    <row r="33" spans="1:20" ht="19" customHeight="1" x14ac:dyDescent="0.25">
      <c r="A33" s="51"/>
      <c r="B33" s="33" t="s">
        <v>24</v>
      </c>
      <c r="C33" s="175" t="s">
        <v>178</v>
      </c>
      <c r="D33" t="s">
        <v>1926</v>
      </c>
      <c r="E33" t="s">
        <v>96</v>
      </c>
      <c r="F33" t="s">
        <v>1121</v>
      </c>
      <c r="G33" s="552">
        <v>2021</v>
      </c>
      <c r="H33" s="47">
        <v>1</v>
      </c>
      <c r="I33" s="43" t="s">
        <v>1923</v>
      </c>
      <c r="J33" t="s">
        <v>1119</v>
      </c>
      <c r="K33" t="s">
        <v>1119</v>
      </c>
      <c r="L33" s="43" t="s">
        <v>526</v>
      </c>
      <c r="M33" s="43">
        <v>42</v>
      </c>
      <c r="N33" s="30">
        <v>2492</v>
      </c>
      <c r="O33" s="30">
        <v>901</v>
      </c>
      <c r="P33" s="30"/>
      <c r="Q33" s="30">
        <f t="shared" si="2"/>
        <v>1802</v>
      </c>
      <c r="R33" s="30">
        <v>240</v>
      </c>
      <c r="S33" s="139">
        <f t="shared" si="3"/>
        <v>0.26637069922308548</v>
      </c>
      <c r="T33" s="56" t="s">
        <v>529</v>
      </c>
    </row>
    <row r="34" spans="1:20" ht="19" customHeight="1" x14ac:dyDescent="0.25">
      <c r="A34" s="51"/>
      <c r="B34" s="33" t="s">
        <v>24</v>
      </c>
      <c r="C34" t="s">
        <v>461</v>
      </c>
      <c r="D34" s="126" t="s">
        <v>457</v>
      </c>
      <c r="E34" s="126" t="s">
        <v>96</v>
      </c>
      <c r="F34" s="126" t="s">
        <v>1121</v>
      </c>
      <c r="G34" s="553">
        <v>2019</v>
      </c>
      <c r="H34" s="513">
        <v>1</v>
      </c>
      <c r="I34" s="64" t="s">
        <v>1923</v>
      </c>
      <c r="J34" s="126" t="s">
        <v>1119</v>
      </c>
      <c r="K34" s="126" t="s">
        <v>11</v>
      </c>
      <c r="M34" s="43">
        <v>14</v>
      </c>
      <c r="N34" s="30"/>
      <c r="O34" s="43">
        <v>132</v>
      </c>
      <c r="Q34" s="30">
        <f t="shared" si="2"/>
        <v>264</v>
      </c>
      <c r="R34" s="529">
        <f t="shared" ref="R34:R48" si="4">O34*$M$5</f>
        <v>35.64</v>
      </c>
      <c r="S34" s="139">
        <f t="shared" si="3"/>
        <v>0.27</v>
      </c>
      <c r="T34" t="s">
        <v>11</v>
      </c>
    </row>
    <row r="35" spans="1:20" ht="19" customHeight="1" x14ac:dyDescent="0.25">
      <c r="A35" s="51"/>
      <c r="B35" s="33" t="s">
        <v>24</v>
      </c>
      <c r="C35" t="s">
        <v>300</v>
      </c>
      <c r="D35" t="s">
        <v>1276</v>
      </c>
      <c r="E35" t="s">
        <v>96</v>
      </c>
      <c r="F35" t="s">
        <v>1927</v>
      </c>
      <c r="G35" s="552">
        <v>2022</v>
      </c>
      <c r="H35" s="47">
        <v>1</v>
      </c>
      <c r="I35" s="43" t="s">
        <v>1923</v>
      </c>
      <c r="J35" t="s">
        <v>1119</v>
      </c>
      <c r="K35" t="s">
        <v>1919</v>
      </c>
      <c r="M35" s="43">
        <v>30</v>
      </c>
      <c r="N35" s="30"/>
      <c r="O35" s="30">
        <v>722</v>
      </c>
      <c r="P35" s="30"/>
      <c r="Q35" s="30">
        <f t="shared" si="2"/>
        <v>1444</v>
      </c>
      <c r="R35" s="529">
        <f>VLOOKUP(C35,'Ward Analysis'!C:V,20,FALSE)</f>
        <v>161</v>
      </c>
      <c r="S35" s="139">
        <f t="shared" si="3"/>
        <v>0.22299168975069253</v>
      </c>
      <c r="T35" s="39" t="s">
        <v>517</v>
      </c>
    </row>
    <row r="36" spans="1:20" ht="19" customHeight="1" x14ac:dyDescent="0.25">
      <c r="A36" s="51"/>
      <c r="B36" s="33" t="s">
        <v>24</v>
      </c>
      <c r="C36" s="126" t="s">
        <v>1162</v>
      </c>
      <c r="D36" s="126" t="s">
        <v>460</v>
      </c>
      <c r="E36" s="126" t="s">
        <v>96</v>
      </c>
      <c r="F36" s="126" t="s">
        <v>1929</v>
      </c>
      <c r="G36" s="553">
        <v>2025</v>
      </c>
      <c r="H36" s="513">
        <v>0.9</v>
      </c>
      <c r="I36" s="64" t="s">
        <v>1930</v>
      </c>
      <c r="J36" s="126" t="s">
        <v>1919</v>
      </c>
      <c r="K36" s="126" t="s">
        <v>1934</v>
      </c>
      <c r="L36" s="64" t="s">
        <v>1161</v>
      </c>
      <c r="M36" s="62">
        <v>45</v>
      </c>
      <c r="N36" s="36"/>
      <c r="O36" s="36">
        <v>484</v>
      </c>
      <c r="P36" s="36"/>
      <c r="Q36" s="30">
        <f t="shared" si="2"/>
        <v>968</v>
      </c>
      <c r="R36" s="529">
        <f t="shared" si="4"/>
        <v>130.68</v>
      </c>
      <c r="S36" s="139">
        <f t="shared" si="3"/>
        <v>0.27</v>
      </c>
      <c r="T36" t="s">
        <v>1953</v>
      </c>
    </row>
    <row r="37" spans="1:20" ht="19" customHeight="1" x14ac:dyDescent="0.25">
      <c r="A37" s="51"/>
      <c r="B37" s="33" t="s">
        <v>24</v>
      </c>
      <c r="C37" t="s">
        <v>161</v>
      </c>
      <c r="D37" s="126" t="s">
        <v>446</v>
      </c>
      <c r="E37" s="126" t="s">
        <v>1942</v>
      </c>
      <c r="F37" s="126" t="s">
        <v>1121</v>
      </c>
      <c r="G37" s="553">
        <v>2017</v>
      </c>
      <c r="H37" s="513">
        <v>1</v>
      </c>
      <c r="I37" s="64" t="s">
        <v>1923</v>
      </c>
      <c r="J37" s="126" t="s">
        <v>1119</v>
      </c>
      <c r="K37" s="126" t="s">
        <v>1119</v>
      </c>
      <c r="M37" s="43"/>
      <c r="N37" s="30"/>
      <c r="O37" s="43">
        <v>9</v>
      </c>
      <c r="Q37" s="30">
        <f t="shared" si="2"/>
        <v>18</v>
      </c>
      <c r="R37" s="529">
        <f t="shared" si="4"/>
        <v>2.4300000000000002</v>
      </c>
      <c r="S37" s="139">
        <f t="shared" si="3"/>
        <v>0.27</v>
      </c>
      <c r="T37" t="s">
        <v>11</v>
      </c>
    </row>
    <row r="38" spans="1:20" ht="19" customHeight="1" x14ac:dyDescent="0.25">
      <c r="A38" s="51"/>
      <c r="B38" s="33" t="s">
        <v>24</v>
      </c>
      <c r="C38" t="s">
        <v>1263</v>
      </c>
      <c r="D38" t="s">
        <v>465</v>
      </c>
      <c r="E38" t="s">
        <v>1942</v>
      </c>
      <c r="F38" t="s">
        <v>1917</v>
      </c>
      <c r="G38" s="552">
        <v>2031</v>
      </c>
      <c r="H38" s="47">
        <v>0.1</v>
      </c>
      <c r="I38" s="43" t="s">
        <v>1918</v>
      </c>
      <c r="J38" t="s">
        <v>1919</v>
      </c>
      <c r="M38" s="43" t="s">
        <v>11</v>
      </c>
      <c r="N38" s="153"/>
      <c r="O38" s="30">
        <f>3467-769</f>
        <v>2698</v>
      </c>
      <c r="P38" s="30"/>
      <c r="Q38" s="30">
        <f t="shared" si="2"/>
        <v>5396</v>
      </c>
      <c r="R38" s="529">
        <f t="shared" si="4"/>
        <v>728.46</v>
      </c>
      <c r="S38" s="139">
        <f t="shared" si="3"/>
        <v>0.27</v>
      </c>
      <c r="T38" t="s">
        <v>1954</v>
      </c>
    </row>
    <row r="39" spans="1:20" ht="19" customHeight="1" x14ac:dyDescent="0.25">
      <c r="A39" s="51"/>
      <c r="B39" s="33" t="s">
        <v>24</v>
      </c>
      <c r="C39" s="175" t="s">
        <v>1255</v>
      </c>
      <c r="D39" t="s">
        <v>1928</v>
      </c>
      <c r="E39" s="126" t="s">
        <v>1942</v>
      </c>
      <c r="F39" s="126" t="s">
        <v>1929</v>
      </c>
      <c r="G39" s="553">
        <v>2024</v>
      </c>
      <c r="H39" s="47">
        <v>0.5</v>
      </c>
      <c r="I39" s="64" t="s">
        <v>1923</v>
      </c>
      <c r="J39" s="126" t="s">
        <v>1919</v>
      </c>
      <c r="K39" s="126" t="s">
        <v>1919</v>
      </c>
      <c r="L39" s="43" t="s">
        <v>1254</v>
      </c>
      <c r="M39" s="43" t="s">
        <v>1253</v>
      </c>
      <c r="N39" s="60"/>
      <c r="O39" s="30">
        <v>500</v>
      </c>
      <c r="P39" s="30"/>
      <c r="Q39" s="30">
        <f t="shared" si="2"/>
        <v>1000</v>
      </c>
      <c r="R39" s="529">
        <f t="shared" si="4"/>
        <v>135</v>
      </c>
      <c r="S39" s="139">
        <f t="shared" si="3"/>
        <v>0.27</v>
      </c>
      <c r="T39" t="s">
        <v>518</v>
      </c>
    </row>
    <row r="40" spans="1:20" ht="19" customHeight="1" x14ac:dyDescent="0.25">
      <c r="A40" s="51"/>
      <c r="B40" s="33" t="s">
        <v>24</v>
      </c>
      <c r="C40" t="s">
        <v>485</v>
      </c>
      <c r="D40" t="s">
        <v>1985</v>
      </c>
      <c r="E40" t="s">
        <v>96</v>
      </c>
      <c r="F40" t="s">
        <v>1937</v>
      </c>
      <c r="G40" s="552">
        <v>2031</v>
      </c>
      <c r="H40" s="47">
        <v>0.2</v>
      </c>
      <c r="I40" s="43" t="s">
        <v>1923</v>
      </c>
      <c r="J40" t="s">
        <v>1919</v>
      </c>
      <c r="K40" t="s">
        <v>1919</v>
      </c>
      <c r="L40" s="43" t="s">
        <v>1119</v>
      </c>
      <c r="M40" s="43" t="s">
        <v>1919</v>
      </c>
      <c r="N40" s="60"/>
      <c r="O40" s="30">
        <v>400</v>
      </c>
      <c r="P40" s="30"/>
      <c r="Q40" s="30">
        <f>O40*$M$4</f>
        <v>800</v>
      </c>
      <c r="R40" s="529">
        <f t="shared" si="4"/>
        <v>108</v>
      </c>
      <c r="S40" s="139">
        <f t="shared" si="3"/>
        <v>0.27</v>
      </c>
    </row>
    <row r="41" spans="1:20" ht="19" customHeight="1" x14ac:dyDescent="0.25">
      <c r="A41" s="51"/>
      <c r="B41" s="33" t="s">
        <v>24</v>
      </c>
      <c r="C41" t="s">
        <v>2033</v>
      </c>
      <c r="D41" t="s">
        <v>2034</v>
      </c>
      <c r="E41" t="s">
        <v>196</v>
      </c>
      <c r="F41" t="s">
        <v>1937</v>
      </c>
      <c r="G41" s="552">
        <v>2031</v>
      </c>
      <c r="H41" s="47">
        <v>0.2</v>
      </c>
      <c r="I41" s="43" t="s">
        <v>1923</v>
      </c>
      <c r="J41" t="s">
        <v>1919</v>
      </c>
      <c r="K41" t="s">
        <v>1919</v>
      </c>
      <c r="L41" s="43" t="s">
        <v>1919</v>
      </c>
      <c r="M41" s="43" t="s">
        <v>1119</v>
      </c>
      <c r="N41" s="60"/>
      <c r="O41" s="30">
        <v>300</v>
      </c>
      <c r="P41" s="30"/>
      <c r="Q41" s="30">
        <f>O41*$M$4</f>
        <v>600</v>
      </c>
      <c r="R41" s="529">
        <f t="shared" si="4"/>
        <v>81</v>
      </c>
      <c r="S41" s="139">
        <f t="shared" si="3"/>
        <v>0.27</v>
      </c>
    </row>
    <row r="42" spans="1:20" ht="19" customHeight="1" x14ac:dyDescent="0.25">
      <c r="A42" s="51"/>
      <c r="B42" s="33" t="s">
        <v>24</v>
      </c>
      <c r="C42" t="s">
        <v>486</v>
      </c>
      <c r="D42" t="s">
        <v>1500</v>
      </c>
      <c r="E42" t="s">
        <v>196</v>
      </c>
      <c r="F42" t="s">
        <v>1937</v>
      </c>
      <c r="G42" s="552">
        <v>2031</v>
      </c>
      <c r="H42" s="47">
        <v>0.8</v>
      </c>
      <c r="I42" s="43" t="s">
        <v>1923</v>
      </c>
      <c r="J42" t="s">
        <v>1119</v>
      </c>
      <c r="K42" t="s">
        <v>1919</v>
      </c>
      <c r="L42" s="43" t="s">
        <v>1119</v>
      </c>
      <c r="M42" s="43" t="s">
        <v>1919</v>
      </c>
      <c r="N42" s="60"/>
      <c r="O42" s="30">
        <v>2000</v>
      </c>
      <c r="P42" s="30"/>
      <c r="Q42" s="30">
        <f>O42*$M$4</f>
        <v>4000</v>
      </c>
      <c r="R42" s="529">
        <f t="shared" si="4"/>
        <v>540</v>
      </c>
      <c r="S42" s="139">
        <f t="shared" si="3"/>
        <v>0.27</v>
      </c>
    </row>
    <row r="43" spans="1:20" ht="19" customHeight="1" x14ac:dyDescent="0.25">
      <c r="A43" s="51"/>
      <c r="B43" s="33" t="s">
        <v>24</v>
      </c>
      <c r="C43" s="175" t="s">
        <v>1987</v>
      </c>
      <c r="D43" t="s">
        <v>1986</v>
      </c>
      <c r="E43" t="s">
        <v>196</v>
      </c>
      <c r="F43" t="s">
        <v>1937</v>
      </c>
      <c r="G43" s="552">
        <v>2031</v>
      </c>
      <c r="H43" s="47">
        <v>0.2</v>
      </c>
      <c r="I43" s="43" t="s">
        <v>1923</v>
      </c>
      <c r="J43" t="s">
        <v>1919</v>
      </c>
      <c r="K43" t="s">
        <v>1919</v>
      </c>
      <c r="L43" s="43" t="s">
        <v>1119</v>
      </c>
      <c r="M43" s="43" t="s">
        <v>1119</v>
      </c>
      <c r="N43" s="60"/>
      <c r="O43" s="30">
        <v>400</v>
      </c>
      <c r="P43" s="30"/>
      <c r="Q43" s="30">
        <f>O43*$M$4</f>
        <v>800</v>
      </c>
      <c r="R43" s="529">
        <f t="shared" si="4"/>
        <v>108</v>
      </c>
      <c r="S43" s="139">
        <f t="shared" si="3"/>
        <v>0.27</v>
      </c>
    </row>
    <row r="44" spans="1:20" ht="19" customHeight="1" x14ac:dyDescent="0.25">
      <c r="A44" s="51"/>
      <c r="B44" s="33" t="s">
        <v>24</v>
      </c>
      <c r="C44" s="175" t="s">
        <v>1983</v>
      </c>
      <c r="D44" t="s">
        <v>463</v>
      </c>
      <c r="E44" t="s">
        <v>196</v>
      </c>
      <c r="F44" t="s">
        <v>1937</v>
      </c>
      <c r="G44" s="552">
        <v>2031</v>
      </c>
      <c r="H44" s="47">
        <v>0.2</v>
      </c>
      <c r="I44" s="43" t="s">
        <v>1923</v>
      </c>
      <c r="J44" t="s">
        <v>1919</v>
      </c>
      <c r="K44" t="s">
        <v>1919</v>
      </c>
      <c r="L44" s="43" t="s">
        <v>1119</v>
      </c>
      <c r="M44" s="43" t="s">
        <v>1119</v>
      </c>
      <c r="N44" s="60"/>
      <c r="O44" s="30">
        <v>700</v>
      </c>
      <c r="P44" s="30"/>
      <c r="Q44" s="30">
        <f>O44*$M$4</f>
        <v>1400</v>
      </c>
      <c r="R44" s="529">
        <f t="shared" si="4"/>
        <v>189</v>
      </c>
      <c r="S44" s="139">
        <f t="shared" si="3"/>
        <v>0.27</v>
      </c>
    </row>
    <row r="45" spans="1:20" s="43" customFormat="1" ht="19" customHeight="1" x14ac:dyDescent="0.25">
      <c r="A45" s="51"/>
      <c r="B45" s="33" t="s">
        <v>200</v>
      </c>
      <c r="C45" t="s">
        <v>129</v>
      </c>
      <c r="D45" t="s">
        <v>1989</v>
      </c>
      <c r="E45" t="s">
        <v>1948</v>
      </c>
      <c r="F45" t="s">
        <v>1917</v>
      </c>
      <c r="G45" s="552">
        <v>2028</v>
      </c>
      <c r="H45" s="47">
        <v>0.6</v>
      </c>
      <c r="I45" s="43" t="s">
        <v>1923</v>
      </c>
      <c r="J45" t="s">
        <v>1919</v>
      </c>
      <c r="K45" t="s">
        <v>1919</v>
      </c>
      <c r="M45" s="65">
        <v>29</v>
      </c>
      <c r="N45" s="153"/>
      <c r="O45" s="30">
        <v>716</v>
      </c>
      <c r="P45" s="30"/>
      <c r="Q45" s="30">
        <f t="shared" ref="Q45:Q53" si="5">O45*$M$4</f>
        <v>1432</v>
      </c>
      <c r="R45" s="529">
        <f t="shared" si="4"/>
        <v>193.32000000000002</v>
      </c>
      <c r="S45" s="139">
        <f t="shared" si="3"/>
        <v>0.27</v>
      </c>
      <c r="T45" t="s">
        <v>11</v>
      </c>
    </row>
    <row r="46" spans="1:20" s="43" customFormat="1" ht="19" customHeight="1" x14ac:dyDescent="0.25">
      <c r="A46" s="51"/>
      <c r="B46" s="33" t="s">
        <v>200</v>
      </c>
      <c r="C46" t="s">
        <v>450</v>
      </c>
      <c r="D46" t="s">
        <v>1343</v>
      </c>
      <c r="E46" t="s">
        <v>1948</v>
      </c>
      <c r="F46" t="s">
        <v>387</v>
      </c>
      <c r="G46" s="552">
        <v>2016</v>
      </c>
      <c r="H46" s="47">
        <v>1</v>
      </c>
      <c r="I46" s="43" t="s">
        <v>1923</v>
      </c>
      <c r="J46" t="s">
        <v>1119</v>
      </c>
      <c r="K46" t="s">
        <v>1119</v>
      </c>
      <c r="L46" s="43" t="s">
        <v>1356</v>
      </c>
      <c r="M46" s="65">
        <v>43</v>
      </c>
      <c r="N46" s="153">
        <v>1429</v>
      </c>
      <c r="O46" s="30">
        <v>484</v>
      </c>
      <c r="P46" s="30"/>
      <c r="Q46" s="30">
        <f t="shared" si="5"/>
        <v>968</v>
      </c>
      <c r="R46" s="529">
        <f t="shared" si="4"/>
        <v>130.68</v>
      </c>
      <c r="S46" s="139">
        <f t="shared" si="3"/>
        <v>0.27</v>
      </c>
      <c r="T46" t="s">
        <v>518</v>
      </c>
    </row>
    <row r="47" spans="1:20" s="43" customFormat="1" ht="19" customHeight="1" x14ac:dyDescent="0.25">
      <c r="A47" s="51"/>
      <c r="B47" s="33" t="s">
        <v>200</v>
      </c>
      <c r="C47" t="s">
        <v>146</v>
      </c>
      <c r="D47" t="s">
        <v>1939</v>
      </c>
      <c r="E47" t="s">
        <v>1948</v>
      </c>
      <c r="F47" t="s">
        <v>387</v>
      </c>
      <c r="G47" s="552">
        <v>2016</v>
      </c>
      <c r="H47" s="47">
        <v>1</v>
      </c>
      <c r="I47" s="43" t="s">
        <v>1923</v>
      </c>
      <c r="J47" t="s">
        <v>1119</v>
      </c>
      <c r="K47" t="s">
        <v>1119</v>
      </c>
      <c r="M47" s="65">
        <v>12</v>
      </c>
      <c r="N47" s="153"/>
      <c r="O47" s="30">
        <v>23</v>
      </c>
      <c r="P47" s="30"/>
      <c r="Q47" s="30">
        <f t="shared" si="5"/>
        <v>46</v>
      </c>
      <c r="R47" s="529">
        <f t="shared" si="4"/>
        <v>6.2100000000000009</v>
      </c>
      <c r="S47" s="139">
        <f t="shared" si="3"/>
        <v>0.27</v>
      </c>
      <c r="T47"/>
    </row>
    <row r="48" spans="1:20" s="43" customFormat="1" ht="19" customHeight="1" x14ac:dyDescent="0.25">
      <c r="A48" s="51"/>
      <c r="B48" s="33" t="s">
        <v>200</v>
      </c>
      <c r="C48" t="s">
        <v>1166</v>
      </c>
      <c r="D48" t="s">
        <v>1938</v>
      </c>
      <c r="E48" t="s">
        <v>1947</v>
      </c>
      <c r="F48" t="s">
        <v>1121</v>
      </c>
      <c r="G48" s="552">
        <v>2022</v>
      </c>
      <c r="H48" s="47">
        <v>1</v>
      </c>
      <c r="I48" s="43" t="s">
        <v>1923</v>
      </c>
      <c r="J48" t="s">
        <v>1119</v>
      </c>
      <c r="K48" t="s">
        <v>1119</v>
      </c>
      <c r="M48" s="65">
        <v>26</v>
      </c>
      <c r="N48" s="153">
        <v>887</v>
      </c>
      <c r="O48" s="30">
        <v>1706</v>
      </c>
      <c r="P48" s="30"/>
      <c r="Q48" s="30">
        <f t="shared" si="5"/>
        <v>3412</v>
      </c>
      <c r="R48" s="529">
        <f t="shared" si="4"/>
        <v>460.62</v>
      </c>
      <c r="S48" s="139">
        <f t="shared" si="3"/>
        <v>0.27</v>
      </c>
      <c r="T48" t="s">
        <v>519</v>
      </c>
    </row>
    <row r="49" spans="1:20" s="43" customFormat="1" ht="19" customHeight="1" x14ac:dyDescent="0.25">
      <c r="A49" s="51"/>
      <c r="B49" s="33" t="s">
        <v>200</v>
      </c>
      <c r="C49" t="s">
        <v>476</v>
      </c>
      <c r="D49" t="s">
        <v>447</v>
      </c>
      <c r="E49" t="s">
        <v>1947</v>
      </c>
      <c r="F49" t="s">
        <v>412</v>
      </c>
      <c r="G49" s="552">
        <v>2026</v>
      </c>
      <c r="H49" s="47">
        <v>0.8</v>
      </c>
      <c r="I49" s="43" t="s">
        <v>1923</v>
      </c>
      <c r="J49" t="s">
        <v>1119</v>
      </c>
      <c r="K49" t="s">
        <v>1919</v>
      </c>
      <c r="M49" s="65">
        <v>30</v>
      </c>
      <c r="N49" s="153"/>
      <c r="O49" s="30">
        <v>804</v>
      </c>
      <c r="P49" s="30"/>
      <c r="Q49" s="30">
        <f t="shared" si="5"/>
        <v>1608</v>
      </c>
      <c r="R49" s="529">
        <f>VLOOKUP(C49,'Ward Analysis'!C:V,20,FALSE)</f>
        <v>217.08</v>
      </c>
      <c r="S49" s="139">
        <f t="shared" si="3"/>
        <v>0.27</v>
      </c>
      <c r="T49" t="s">
        <v>518</v>
      </c>
    </row>
    <row r="50" spans="1:20" s="43" customFormat="1" ht="19" customHeight="1" x14ac:dyDescent="0.25">
      <c r="A50" s="51"/>
      <c r="B50" s="33" t="s">
        <v>200</v>
      </c>
      <c r="C50" s="33" t="s">
        <v>1958</v>
      </c>
      <c r="D50" t="s">
        <v>1957</v>
      </c>
      <c r="E50" t="s">
        <v>1947</v>
      </c>
      <c r="F50" t="s">
        <v>1927</v>
      </c>
      <c r="G50" s="552">
        <v>2023</v>
      </c>
      <c r="H50" s="47">
        <v>0.9</v>
      </c>
      <c r="I50" s="43" t="s">
        <v>1923</v>
      </c>
      <c r="J50" t="s">
        <v>1119</v>
      </c>
      <c r="K50" t="s">
        <v>1919</v>
      </c>
      <c r="M50" s="65">
        <v>24</v>
      </c>
      <c r="N50" s="153"/>
      <c r="O50" s="30">
        <v>338</v>
      </c>
      <c r="P50" s="30"/>
      <c r="Q50" s="30">
        <f t="shared" si="5"/>
        <v>676</v>
      </c>
      <c r="R50" s="529">
        <f>VLOOKUP(C50,'Ward Analysis'!C:V,20,FALSE)</f>
        <v>96</v>
      </c>
      <c r="S50" s="139">
        <f t="shared" si="3"/>
        <v>0.28402366863905326</v>
      </c>
      <c r="T50" t="s">
        <v>511</v>
      </c>
    </row>
    <row r="51" spans="1:20" s="43" customFormat="1" ht="19" customHeight="1" x14ac:dyDescent="0.25">
      <c r="A51" s="51"/>
      <c r="B51" s="33" t="s">
        <v>200</v>
      </c>
      <c r="C51" t="s">
        <v>1349</v>
      </c>
      <c r="D51" t="s">
        <v>457</v>
      </c>
      <c r="E51" t="s">
        <v>1945</v>
      </c>
      <c r="F51" t="s">
        <v>1121</v>
      </c>
      <c r="G51" s="552">
        <v>2028</v>
      </c>
      <c r="H51" s="47">
        <v>1</v>
      </c>
      <c r="I51" s="43" t="s">
        <v>1923</v>
      </c>
      <c r="J51" t="s">
        <v>1119</v>
      </c>
      <c r="K51" t="s">
        <v>1119</v>
      </c>
      <c r="L51" s="43" t="s">
        <v>523</v>
      </c>
      <c r="M51" s="65">
        <v>50</v>
      </c>
      <c r="N51" s="153">
        <v>1796</v>
      </c>
      <c r="O51" s="30">
        <v>3610</v>
      </c>
      <c r="P51" s="30">
        <v>300</v>
      </c>
      <c r="Q51" s="30">
        <f t="shared" si="5"/>
        <v>7220</v>
      </c>
      <c r="R51" s="30">
        <v>715</v>
      </c>
      <c r="S51" s="139">
        <f t="shared" si="3"/>
        <v>0.19806094182825484</v>
      </c>
      <c r="T51" t="s">
        <v>668</v>
      </c>
    </row>
    <row r="52" spans="1:20" s="43" customFormat="1" ht="19" customHeight="1" x14ac:dyDescent="0.25">
      <c r="A52" s="51"/>
      <c r="B52" s="33" t="s">
        <v>200</v>
      </c>
      <c r="C52" t="s">
        <v>1341</v>
      </c>
      <c r="D52" t="s">
        <v>76</v>
      </c>
      <c r="E52" t="s">
        <v>1945</v>
      </c>
      <c r="F52" t="s">
        <v>412</v>
      </c>
      <c r="G52" s="552">
        <v>2025</v>
      </c>
      <c r="H52" s="47">
        <v>0.8</v>
      </c>
      <c r="I52" s="43" t="s">
        <v>1930</v>
      </c>
      <c r="J52" t="s">
        <v>1119</v>
      </c>
      <c r="K52" t="s">
        <v>1934</v>
      </c>
      <c r="M52" s="65">
        <v>35</v>
      </c>
      <c r="N52" s="153">
        <v>2558</v>
      </c>
      <c r="O52" s="30">
        <v>414</v>
      </c>
      <c r="P52" s="30"/>
      <c r="Q52" s="30">
        <f t="shared" si="5"/>
        <v>828</v>
      </c>
      <c r="R52" s="30">
        <v>140</v>
      </c>
      <c r="S52" s="139">
        <f t="shared" si="3"/>
        <v>0.33816425120772947</v>
      </c>
      <c r="T52" t="s">
        <v>521</v>
      </c>
    </row>
    <row r="53" spans="1:20" s="43" customFormat="1" ht="19" customHeight="1" x14ac:dyDescent="0.25">
      <c r="A53" s="51"/>
      <c r="B53" s="33" t="s">
        <v>200</v>
      </c>
      <c r="C53" t="s">
        <v>1336</v>
      </c>
      <c r="D53" t="s">
        <v>1939</v>
      </c>
      <c r="E53" t="s">
        <v>1945</v>
      </c>
      <c r="F53" t="s">
        <v>387</v>
      </c>
      <c r="G53" s="552">
        <v>2016</v>
      </c>
      <c r="H53" s="47">
        <v>1</v>
      </c>
      <c r="I53" s="43" t="s">
        <v>1923</v>
      </c>
      <c r="J53" t="s">
        <v>1119</v>
      </c>
      <c r="K53" t="s">
        <v>1119</v>
      </c>
      <c r="M53" s="65">
        <v>26</v>
      </c>
      <c r="N53" s="153">
        <v>2103</v>
      </c>
      <c r="O53" s="30">
        <v>190</v>
      </c>
      <c r="P53" s="30"/>
      <c r="Q53" s="30">
        <f t="shared" si="5"/>
        <v>380</v>
      </c>
      <c r="R53" s="30">
        <v>17</v>
      </c>
      <c r="S53" s="139">
        <f t="shared" si="3"/>
        <v>8.9473684210526316E-2</v>
      </c>
      <c r="T53"/>
    </row>
    <row r="54" spans="1:20" s="43" customFormat="1" ht="19" customHeight="1" x14ac:dyDescent="0.25">
      <c r="A54" s="51"/>
      <c r="B54" s="33" t="s">
        <v>200</v>
      </c>
      <c r="C54" s="175" t="s">
        <v>113</v>
      </c>
      <c r="D54" t="s">
        <v>1280</v>
      </c>
      <c r="E54" t="s">
        <v>196</v>
      </c>
      <c r="F54" t="s">
        <v>1929</v>
      </c>
      <c r="G54" s="552">
        <v>2022</v>
      </c>
      <c r="H54" s="47">
        <v>0.9</v>
      </c>
      <c r="I54" s="43" t="s">
        <v>1923</v>
      </c>
      <c r="J54" t="s">
        <v>1919</v>
      </c>
      <c r="K54" t="s">
        <v>1919</v>
      </c>
      <c r="L54" s="43" t="s">
        <v>1956</v>
      </c>
      <c r="M54" s="65">
        <v>48</v>
      </c>
      <c r="N54" s="153"/>
      <c r="O54" s="30">
        <v>336</v>
      </c>
      <c r="P54" s="30"/>
      <c r="Q54" s="30">
        <f t="shared" ref="Q54:Q65" si="6">O54*$M$4</f>
        <v>672</v>
      </c>
      <c r="R54" s="529">
        <f>O54*$M$5</f>
        <v>90.72</v>
      </c>
      <c r="S54" s="139">
        <f t="shared" si="3"/>
        <v>0.27</v>
      </c>
      <c r="T54" t="s">
        <v>1278</v>
      </c>
    </row>
    <row r="55" spans="1:20" s="43" customFormat="1" ht="19" customHeight="1" x14ac:dyDescent="0.25">
      <c r="A55" s="51"/>
      <c r="B55" s="33" t="s">
        <v>200</v>
      </c>
      <c r="C55" s="175" t="s">
        <v>1978</v>
      </c>
      <c r="D55" t="s">
        <v>1502</v>
      </c>
      <c r="E55" t="s">
        <v>196</v>
      </c>
      <c r="F55" t="s">
        <v>1121</v>
      </c>
      <c r="G55" s="552">
        <v>2020</v>
      </c>
      <c r="H55" s="47">
        <v>1</v>
      </c>
      <c r="I55" s="43" t="s">
        <v>1923</v>
      </c>
      <c r="J55" t="s">
        <v>1119</v>
      </c>
      <c r="K55" t="s">
        <v>1119</v>
      </c>
      <c r="L55" s="43" t="s">
        <v>500</v>
      </c>
      <c r="M55" s="65">
        <v>53</v>
      </c>
      <c r="N55" s="153">
        <v>2850</v>
      </c>
      <c r="O55" s="30">
        <v>423</v>
      </c>
      <c r="P55" s="30"/>
      <c r="Q55" s="30">
        <f t="shared" si="6"/>
        <v>846</v>
      </c>
      <c r="R55" s="30">
        <v>105</v>
      </c>
      <c r="S55" s="139">
        <f t="shared" si="3"/>
        <v>0.24822695035460993</v>
      </c>
      <c r="T55" t="s">
        <v>515</v>
      </c>
    </row>
    <row r="56" spans="1:20" s="43" customFormat="1" ht="19" customHeight="1" x14ac:dyDescent="0.25">
      <c r="A56" s="51"/>
      <c r="B56" s="33" t="s">
        <v>200</v>
      </c>
      <c r="C56" s="175" t="s">
        <v>1339</v>
      </c>
      <c r="D56" t="s">
        <v>446</v>
      </c>
      <c r="E56" t="s">
        <v>196</v>
      </c>
      <c r="F56" t="s">
        <v>1121</v>
      </c>
      <c r="G56" s="552">
        <v>2017</v>
      </c>
      <c r="H56" s="47">
        <v>1</v>
      </c>
      <c r="I56" s="43" t="s">
        <v>1923</v>
      </c>
      <c r="J56" t="s">
        <v>1119</v>
      </c>
      <c r="K56" t="s">
        <v>1119</v>
      </c>
      <c r="M56" s="65">
        <v>31</v>
      </c>
      <c r="N56" s="153">
        <v>1123</v>
      </c>
      <c r="O56" s="30">
        <v>121</v>
      </c>
      <c r="P56" s="30"/>
      <c r="Q56" s="30">
        <f t="shared" si="6"/>
        <v>242</v>
      </c>
      <c r="R56" s="529">
        <f>O56*$M$5</f>
        <v>32.67</v>
      </c>
      <c r="S56" s="139">
        <f t="shared" si="3"/>
        <v>0.27</v>
      </c>
      <c r="T56" s="73" t="s">
        <v>1996</v>
      </c>
    </row>
    <row r="57" spans="1:20" s="43" customFormat="1" ht="19" customHeight="1" x14ac:dyDescent="0.25">
      <c r="A57" s="51"/>
      <c r="B57" s="33" t="s">
        <v>200</v>
      </c>
      <c r="C57" s="175" t="s">
        <v>1941</v>
      </c>
      <c r="D57" t="s">
        <v>1962</v>
      </c>
      <c r="E57" t="s">
        <v>196</v>
      </c>
      <c r="F57" t="s">
        <v>1917</v>
      </c>
      <c r="G57" s="552">
        <v>2026</v>
      </c>
      <c r="H57" s="47">
        <v>0.6</v>
      </c>
      <c r="I57" s="43" t="s">
        <v>1923</v>
      </c>
      <c r="J57" t="s">
        <v>1919</v>
      </c>
      <c r="K57" t="s">
        <v>1919</v>
      </c>
      <c r="M57"/>
      <c r="N57" s="60"/>
      <c r="O57" s="30">
        <v>500</v>
      </c>
      <c r="P57" s="30"/>
      <c r="Q57" s="30">
        <f t="shared" si="6"/>
        <v>1000</v>
      </c>
      <c r="R57" s="529">
        <f>O57*$M$5</f>
        <v>135</v>
      </c>
      <c r="S57" s="139">
        <f t="shared" si="3"/>
        <v>0.27</v>
      </c>
      <c r="T57" t="s">
        <v>1960</v>
      </c>
    </row>
    <row r="58" spans="1:20" s="43" customFormat="1" ht="19" customHeight="1" x14ac:dyDescent="0.25">
      <c r="A58" s="51"/>
      <c r="B58" s="33" t="s">
        <v>200</v>
      </c>
      <c r="C58" t="s">
        <v>442</v>
      </c>
      <c r="D58" t="s">
        <v>1501</v>
      </c>
      <c r="E58" t="s">
        <v>181</v>
      </c>
      <c r="F58" t="s">
        <v>1917</v>
      </c>
      <c r="G58" s="552">
        <v>2026</v>
      </c>
      <c r="H58" s="47">
        <v>0.8</v>
      </c>
      <c r="I58" s="43" t="s">
        <v>1923</v>
      </c>
      <c r="J58" t="s">
        <v>1119</v>
      </c>
      <c r="K58" t="s">
        <v>1919</v>
      </c>
      <c r="L58" s="43" t="s">
        <v>1354</v>
      </c>
      <c r="M58" s="65">
        <v>23</v>
      </c>
      <c r="N58" s="153">
        <v>606</v>
      </c>
      <c r="O58" s="30">
        <v>1600</v>
      </c>
      <c r="P58" s="30"/>
      <c r="Q58" s="30">
        <f t="shared" si="6"/>
        <v>3200</v>
      </c>
      <c r="R58" s="30">
        <v>381</v>
      </c>
      <c r="S58" s="139">
        <f t="shared" si="3"/>
        <v>0.238125</v>
      </c>
      <c r="T58" t="s">
        <v>1130</v>
      </c>
    </row>
    <row r="59" spans="1:20" s="43" customFormat="1" ht="19" customHeight="1" x14ac:dyDescent="0.25">
      <c r="A59" s="51"/>
      <c r="B59" s="33" t="s">
        <v>200</v>
      </c>
      <c r="C59" t="s">
        <v>1337</v>
      </c>
      <c r="D59" t="s">
        <v>482</v>
      </c>
      <c r="E59" t="s">
        <v>181</v>
      </c>
      <c r="F59" t="s">
        <v>1121</v>
      </c>
      <c r="G59" s="552">
        <v>2017</v>
      </c>
      <c r="H59" s="47">
        <v>1</v>
      </c>
      <c r="I59" s="43" t="s">
        <v>1923</v>
      </c>
      <c r="J59" t="s">
        <v>1119</v>
      </c>
      <c r="K59" t="s">
        <v>1119</v>
      </c>
      <c r="L59" s="43" t="s">
        <v>525</v>
      </c>
      <c r="M59" s="65">
        <v>45</v>
      </c>
      <c r="N59" s="153"/>
      <c r="O59" s="30">
        <v>330</v>
      </c>
      <c r="P59" s="30"/>
      <c r="Q59" s="30">
        <f t="shared" si="6"/>
        <v>660</v>
      </c>
      <c r="R59" s="529">
        <f>O59*$M$5</f>
        <v>89.100000000000009</v>
      </c>
      <c r="S59" s="139">
        <f t="shared" si="3"/>
        <v>0.27</v>
      </c>
      <c r="T59" t="s">
        <v>529</v>
      </c>
    </row>
    <row r="60" spans="1:20" s="43" customFormat="1" ht="19" customHeight="1" x14ac:dyDescent="0.25">
      <c r="A60" s="51"/>
      <c r="B60" s="33" t="s">
        <v>200</v>
      </c>
      <c r="C60" t="s">
        <v>1338</v>
      </c>
      <c r="D60" t="s">
        <v>446</v>
      </c>
      <c r="E60" t="s">
        <v>181</v>
      </c>
      <c r="F60" t="s">
        <v>1121</v>
      </c>
      <c r="G60" s="552">
        <v>2019</v>
      </c>
      <c r="H60" s="47">
        <v>1</v>
      </c>
      <c r="I60" s="43" t="s">
        <v>1923</v>
      </c>
      <c r="J60" t="s">
        <v>1119</v>
      </c>
      <c r="K60" t="s">
        <v>1119</v>
      </c>
      <c r="M60" s="65">
        <v>29</v>
      </c>
      <c r="N60" s="153">
        <v>1320</v>
      </c>
      <c r="O60" s="30">
        <v>167</v>
      </c>
      <c r="P60" s="30"/>
      <c r="Q60" s="30">
        <f t="shared" si="6"/>
        <v>334</v>
      </c>
      <c r="R60" s="30">
        <v>40</v>
      </c>
      <c r="S60" s="139">
        <f t="shared" si="3"/>
        <v>0.23952095808383234</v>
      </c>
      <c r="T60" t="s">
        <v>522</v>
      </c>
    </row>
    <row r="61" spans="1:20" s="43" customFormat="1" ht="19" customHeight="1" x14ac:dyDescent="0.25">
      <c r="A61" s="51"/>
      <c r="B61" s="33" t="s">
        <v>200</v>
      </c>
      <c r="C61" t="s">
        <v>509</v>
      </c>
      <c r="D61" t="s">
        <v>446</v>
      </c>
      <c r="E61" t="s">
        <v>181</v>
      </c>
      <c r="F61" t="s">
        <v>1121</v>
      </c>
      <c r="G61" s="552">
        <v>2018</v>
      </c>
      <c r="H61" s="47">
        <v>1</v>
      </c>
      <c r="I61" s="43" t="s">
        <v>1923</v>
      </c>
      <c r="J61" t="s">
        <v>1119</v>
      </c>
      <c r="K61" t="s">
        <v>1119</v>
      </c>
      <c r="M61" s="65">
        <v>13</v>
      </c>
      <c r="N61" s="153">
        <v>1015</v>
      </c>
      <c r="O61" s="30">
        <v>89</v>
      </c>
      <c r="P61" s="30"/>
      <c r="Q61" s="30">
        <f t="shared" si="6"/>
        <v>178</v>
      </c>
      <c r="R61" s="30">
        <v>26</v>
      </c>
      <c r="S61" s="139">
        <f t="shared" si="3"/>
        <v>0.29213483146067415</v>
      </c>
      <c r="T61"/>
    </row>
    <row r="62" spans="1:20" s="43" customFormat="1" ht="19" customHeight="1" x14ac:dyDescent="0.25">
      <c r="A62" s="51"/>
      <c r="B62" s="33" t="s">
        <v>200</v>
      </c>
      <c r="C62" t="s">
        <v>1340</v>
      </c>
      <c r="D62" t="s">
        <v>1963</v>
      </c>
      <c r="E62" t="s">
        <v>181</v>
      </c>
      <c r="F62" t="s">
        <v>1917</v>
      </c>
      <c r="G62" s="552"/>
      <c r="H62" s="47">
        <v>0.1</v>
      </c>
      <c r="I62" s="43" t="s">
        <v>1923</v>
      </c>
      <c r="J62" t="s">
        <v>1919</v>
      </c>
      <c r="K62" t="s">
        <v>1919</v>
      </c>
      <c r="M62" s="65"/>
      <c r="N62" s="153"/>
      <c r="O62" s="30"/>
      <c r="P62" s="30"/>
      <c r="Q62" s="30">
        <f t="shared" si="6"/>
        <v>0</v>
      </c>
      <c r="R62" s="529">
        <f t="shared" ref="R62:R69" si="7">O62*$M$5</f>
        <v>0</v>
      </c>
      <c r="S62" s="139"/>
      <c r="T62"/>
    </row>
    <row r="63" spans="1:20" s="43" customFormat="1" ht="19" customHeight="1" x14ac:dyDescent="0.25">
      <c r="A63" s="51"/>
      <c r="B63" s="33" t="s">
        <v>200</v>
      </c>
      <c r="C63" t="s">
        <v>1265</v>
      </c>
      <c r="D63" t="s">
        <v>465</v>
      </c>
      <c r="E63" t="s">
        <v>1946</v>
      </c>
      <c r="F63" t="s">
        <v>1917</v>
      </c>
      <c r="G63" s="552">
        <v>2031</v>
      </c>
      <c r="H63" s="47">
        <v>0.9</v>
      </c>
      <c r="I63" s="43" t="s">
        <v>1940</v>
      </c>
      <c r="J63" t="s">
        <v>1919</v>
      </c>
      <c r="K63" t="s">
        <v>1919</v>
      </c>
      <c r="M63" s="65" t="s">
        <v>11</v>
      </c>
      <c r="N63" s="153"/>
      <c r="O63" s="30">
        <f>2213-517</f>
        <v>1696</v>
      </c>
      <c r="P63" s="30"/>
      <c r="Q63" s="30">
        <f t="shared" si="6"/>
        <v>3392</v>
      </c>
      <c r="R63" s="529">
        <f t="shared" si="7"/>
        <v>457.92</v>
      </c>
      <c r="S63" s="139">
        <f t="shared" ref="S63:S79" si="8">R63/O63</f>
        <v>0.27</v>
      </c>
      <c r="T63" t="s">
        <v>1299</v>
      </c>
    </row>
    <row r="64" spans="1:20" s="43" customFormat="1" ht="19" customHeight="1" x14ac:dyDescent="0.25">
      <c r="A64" s="51"/>
      <c r="B64" s="33" t="s">
        <v>200</v>
      </c>
      <c r="C64" t="s">
        <v>1264</v>
      </c>
      <c r="D64" t="s">
        <v>465</v>
      </c>
      <c r="E64" t="s">
        <v>1946</v>
      </c>
      <c r="F64" t="s">
        <v>1917</v>
      </c>
      <c r="G64" s="552">
        <v>2031</v>
      </c>
      <c r="H64" s="47">
        <v>0.7</v>
      </c>
      <c r="I64" s="43" t="s">
        <v>1940</v>
      </c>
      <c r="J64" t="s">
        <v>1919</v>
      </c>
      <c r="K64" t="s">
        <v>1919</v>
      </c>
      <c r="M64" s="65" t="s">
        <v>11</v>
      </c>
      <c r="N64" s="153"/>
      <c r="O64" s="30">
        <f>2809-607</f>
        <v>2202</v>
      </c>
      <c r="P64" s="30"/>
      <c r="Q64" s="30">
        <f t="shared" si="6"/>
        <v>4404</v>
      </c>
      <c r="R64" s="529">
        <f t="shared" si="7"/>
        <v>594.54000000000008</v>
      </c>
      <c r="S64" s="139">
        <f t="shared" si="8"/>
        <v>0.27</v>
      </c>
      <c r="T64" t="s">
        <v>1299</v>
      </c>
    </row>
    <row r="65" spans="1:20" s="43" customFormat="1" ht="19" customHeight="1" x14ac:dyDescent="0.25">
      <c r="A65" s="51"/>
      <c r="B65" s="33" t="s">
        <v>200</v>
      </c>
      <c r="C65" t="s">
        <v>1151</v>
      </c>
      <c r="D65" t="s">
        <v>446</v>
      </c>
      <c r="E65" t="s">
        <v>1946</v>
      </c>
      <c r="F65" t="s">
        <v>1121</v>
      </c>
      <c r="G65" s="552">
        <v>2020</v>
      </c>
      <c r="H65" s="47">
        <v>1</v>
      </c>
      <c r="I65" s="43" t="s">
        <v>1940</v>
      </c>
      <c r="J65" t="s">
        <v>1119</v>
      </c>
      <c r="K65" t="s">
        <v>1119</v>
      </c>
      <c r="M65" s="65">
        <v>14</v>
      </c>
      <c r="N65" s="153"/>
      <c r="O65" s="30">
        <v>210</v>
      </c>
      <c r="P65" s="30"/>
      <c r="Q65" s="30">
        <f t="shared" si="6"/>
        <v>420</v>
      </c>
      <c r="R65" s="529">
        <f t="shared" si="7"/>
        <v>56.7</v>
      </c>
      <c r="S65" s="139">
        <f t="shared" si="8"/>
        <v>0.27</v>
      </c>
      <c r="T65" t="s">
        <v>1995</v>
      </c>
    </row>
    <row r="66" spans="1:20" s="43" customFormat="1" ht="19" customHeight="1" x14ac:dyDescent="0.2">
      <c r="A66"/>
      <c r="B66" s="33" t="s">
        <v>200</v>
      </c>
      <c r="C66" t="s">
        <v>2036</v>
      </c>
      <c r="D66" t="s">
        <v>2037</v>
      </c>
      <c r="E66" t="s">
        <v>1945</v>
      </c>
      <c r="F66" t="s">
        <v>1937</v>
      </c>
      <c r="G66" s="552">
        <v>2031</v>
      </c>
      <c r="H66" s="47">
        <v>0.1</v>
      </c>
      <c r="J66" t="s">
        <v>1919</v>
      </c>
      <c r="K66" t="s">
        <v>1919</v>
      </c>
      <c r="M66"/>
      <c r="N66"/>
      <c r="O66" s="43">
        <v>200</v>
      </c>
      <c r="Q66" s="30">
        <f t="shared" ref="Q66:Q68" si="9">O66*$M$4</f>
        <v>400</v>
      </c>
      <c r="R66" s="529">
        <f t="shared" si="7"/>
        <v>54</v>
      </c>
      <c r="S66" s="139">
        <f t="shared" si="8"/>
        <v>0.27</v>
      </c>
      <c r="T66"/>
    </row>
    <row r="67" spans="1:20" s="43" customFormat="1" ht="19" customHeight="1" x14ac:dyDescent="0.2">
      <c r="A67"/>
      <c r="B67" s="33" t="s">
        <v>200</v>
      </c>
      <c r="C67" t="s">
        <v>2054</v>
      </c>
      <c r="D67" t="s">
        <v>2056</v>
      </c>
      <c r="E67" t="s">
        <v>2055</v>
      </c>
      <c r="F67" t="s">
        <v>1937</v>
      </c>
      <c r="G67" s="552">
        <v>2031</v>
      </c>
      <c r="H67" s="47">
        <v>0.2</v>
      </c>
      <c r="J67" t="s">
        <v>1919</v>
      </c>
      <c r="K67" t="s">
        <v>1919</v>
      </c>
      <c r="M67"/>
      <c r="N67"/>
      <c r="O67" s="43">
        <v>708</v>
      </c>
      <c r="Q67" s="30">
        <v>1416</v>
      </c>
      <c r="R67" s="529">
        <f t="shared" ref="R67" si="10">O67*$M$5</f>
        <v>191.16000000000003</v>
      </c>
      <c r="S67" s="139">
        <f t="shared" ref="S67" si="11">R67/O67</f>
        <v>0.27</v>
      </c>
      <c r="T67"/>
    </row>
    <row r="68" spans="1:20" s="43" customFormat="1" ht="19" customHeight="1" x14ac:dyDescent="0.2">
      <c r="A68"/>
      <c r="B68" s="33" t="s">
        <v>200</v>
      </c>
      <c r="C68" t="s">
        <v>2035</v>
      </c>
      <c r="D68" t="s">
        <v>2037</v>
      </c>
      <c r="E68" t="s">
        <v>1947</v>
      </c>
      <c r="F68" t="s">
        <v>1937</v>
      </c>
      <c r="G68" s="552">
        <v>2031</v>
      </c>
      <c r="H68" s="47">
        <v>0.2</v>
      </c>
      <c r="J68" t="s">
        <v>1919</v>
      </c>
      <c r="K68" t="s">
        <v>1919</v>
      </c>
      <c r="M68"/>
      <c r="N68"/>
      <c r="O68" s="43">
        <v>200</v>
      </c>
      <c r="Q68" s="30">
        <f t="shared" si="9"/>
        <v>400</v>
      </c>
      <c r="R68" s="529">
        <f t="shared" si="7"/>
        <v>54</v>
      </c>
      <c r="S68" s="139">
        <f t="shared" si="8"/>
        <v>0.27</v>
      </c>
      <c r="T68"/>
    </row>
    <row r="69" spans="1:20" s="43" customFormat="1" ht="19" customHeight="1" x14ac:dyDescent="0.25">
      <c r="A69" s="51"/>
      <c r="B69" s="33" t="s">
        <v>200</v>
      </c>
      <c r="C69" s="175" t="s">
        <v>478</v>
      </c>
      <c r="D69" t="s">
        <v>1990</v>
      </c>
      <c r="E69" t="s">
        <v>196</v>
      </c>
      <c r="F69" t="s">
        <v>1937</v>
      </c>
      <c r="G69" s="552">
        <v>2031</v>
      </c>
      <c r="H69" s="47">
        <v>0.2</v>
      </c>
      <c r="J69" t="s">
        <v>1919</v>
      </c>
      <c r="K69" t="s">
        <v>1919</v>
      </c>
      <c r="M69"/>
      <c r="N69" s="60"/>
      <c r="O69" s="30">
        <v>700</v>
      </c>
      <c r="P69" s="30"/>
      <c r="Q69" s="30">
        <f>O69*$M$4</f>
        <v>1400</v>
      </c>
      <c r="R69" s="529">
        <f t="shared" si="7"/>
        <v>189</v>
      </c>
      <c r="S69" s="139">
        <f t="shared" si="8"/>
        <v>0.27</v>
      </c>
      <c r="T69"/>
    </row>
    <row r="70" spans="1:20" s="43" customFormat="1" ht="19" customHeight="1" x14ac:dyDescent="0.25">
      <c r="A70" s="51"/>
      <c r="B70" s="33" t="s">
        <v>199</v>
      </c>
      <c r="C70" t="s">
        <v>479</v>
      </c>
      <c r="D70" t="s">
        <v>480</v>
      </c>
      <c r="E70" t="s">
        <v>1942</v>
      </c>
      <c r="F70" t="s">
        <v>1121</v>
      </c>
      <c r="G70" s="552">
        <v>2019</v>
      </c>
      <c r="H70" s="47">
        <v>1</v>
      </c>
      <c r="J70" t="s">
        <v>1119</v>
      </c>
      <c r="K70" t="s">
        <v>1919</v>
      </c>
      <c r="M70"/>
      <c r="N70" s="60"/>
      <c r="O70" s="30">
        <v>173</v>
      </c>
      <c r="P70" s="30"/>
      <c r="Q70" s="30">
        <f t="shared" ref="Q70:Q75" si="12">O70*$M$4</f>
        <v>346</v>
      </c>
      <c r="R70" s="30">
        <v>234</v>
      </c>
      <c r="S70" s="139">
        <f t="shared" si="8"/>
        <v>1.3526011560693643</v>
      </c>
      <c r="T70"/>
    </row>
    <row r="71" spans="1:20" s="43" customFormat="1" ht="19" customHeight="1" x14ac:dyDescent="0.25">
      <c r="A71" s="51"/>
      <c r="B71" s="33" t="s">
        <v>199</v>
      </c>
      <c r="C71" t="s">
        <v>1991</v>
      </c>
      <c r="D71" t="s">
        <v>387</v>
      </c>
      <c r="E71" t="s">
        <v>1942</v>
      </c>
      <c r="F71" t="s">
        <v>387</v>
      </c>
      <c r="G71" s="552">
        <v>2016</v>
      </c>
      <c r="H71" s="47">
        <v>1</v>
      </c>
      <c r="J71" t="s">
        <v>1119</v>
      </c>
      <c r="K71" t="s">
        <v>1119</v>
      </c>
      <c r="M71"/>
      <c r="N71" s="60"/>
      <c r="O71" s="43">
        <v>36</v>
      </c>
      <c r="Q71" s="30">
        <f t="shared" si="12"/>
        <v>72</v>
      </c>
      <c r="R71" s="529">
        <f t="shared" ref="R71:R79" si="13">O71*$M$5</f>
        <v>9.7200000000000006</v>
      </c>
      <c r="S71" s="139">
        <f t="shared" si="8"/>
        <v>0.27</v>
      </c>
      <c r="T71"/>
    </row>
    <row r="72" spans="1:20" s="43" customFormat="1" ht="19" customHeight="1" x14ac:dyDescent="0.25">
      <c r="A72" s="51"/>
      <c r="B72" s="33" t="s">
        <v>199</v>
      </c>
      <c r="C72" t="s">
        <v>1266</v>
      </c>
      <c r="D72" t="s">
        <v>465</v>
      </c>
      <c r="E72" t="s">
        <v>1942</v>
      </c>
      <c r="F72" t="s">
        <v>1917</v>
      </c>
      <c r="G72" s="552">
        <v>2030</v>
      </c>
      <c r="H72" s="47"/>
      <c r="J72" t="s">
        <v>1919</v>
      </c>
      <c r="K72" t="s">
        <v>1919</v>
      </c>
      <c r="M72" s="65" t="s">
        <v>11</v>
      </c>
      <c r="N72" s="153"/>
      <c r="O72" s="30">
        <f>417-134</f>
        <v>283</v>
      </c>
      <c r="P72" s="30"/>
      <c r="Q72" s="30">
        <f t="shared" si="12"/>
        <v>566</v>
      </c>
      <c r="R72" s="529">
        <f t="shared" si="13"/>
        <v>76.410000000000011</v>
      </c>
      <c r="S72" s="139">
        <f t="shared" si="8"/>
        <v>0.27</v>
      </c>
      <c r="T72"/>
    </row>
    <row r="73" spans="1:20" s="43" customFormat="1" ht="19" customHeight="1" x14ac:dyDescent="0.2">
      <c r="A73"/>
      <c r="B73" s="33" t="s">
        <v>199</v>
      </c>
      <c r="C73" t="s">
        <v>484</v>
      </c>
      <c r="D73" t="s">
        <v>387</v>
      </c>
      <c r="E73" t="s">
        <v>1946</v>
      </c>
      <c r="F73" t="s">
        <v>387</v>
      </c>
      <c r="G73" s="552">
        <v>2016</v>
      </c>
      <c r="H73" s="47"/>
      <c r="J73" t="s">
        <v>1119</v>
      </c>
      <c r="K73" t="s">
        <v>1119</v>
      </c>
      <c r="M73"/>
      <c r="N73" s="60"/>
      <c r="O73" s="43">
        <v>62</v>
      </c>
      <c r="Q73" s="30">
        <f t="shared" si="12"/>
        <v>124</v>
      </c>
      <c r="R73" s="529">
        <f t="shared" si="13"/>
        <v>16.740000000000002</v>
      </c>
      <c r="S73" s="139">
        <f t="shared" si="8"/>
        <v>0.27</v>
      </c>
      <c r="T73"/>
    </row>
    <row r="74" spans="1:20" s="43" customFormat="1" ht="19" customHeight="1" x14ac:dyDescent="0.2">
      <c r="A74"/>
      <c r="B74" s="33" t="s">
        <v>199</v>
      </c>
      <c r="C74" t="s">
        <v>144</v>
      </c>
      <c r="D74" t="s">
        <v>387</v>
      </c>
      <c r="E74" t="s">
        <v>1946</v>
      </c>
      <c r="F74" t="s">
        <v>387</v>
      </c>
      <c r="G74" s="552">
        <v>2016</v>
      </c>
      <c r="H74" s="47"/>
      <c r="J74" t="s">
        <v>1119</v>
      </c>
      <c r="K74" t="s">
        <v>1119</v>
      </c>
      <c r="M74"/>
      <c r="N74" s="60"/>
      <c r="O74" s="43">
        <v>39</v>
      </c>
      <c r="Q74" s="30">
        <f t="shared" si="12"/>
        <v>78</v>
      </c>
      <c r="R74" s="529">
        <f t="shared" si="13"/>
        <v>10.530000000000001</v>
      </c>
      <c r="S74" s="139">
        <f t="shared" si="8"/>
        <v>0.27</v>
      </c>
      <c r="T74"/>
    </row>
    <row r="75" spans="1:20" s="43" customFormat="1" ht="19" customHeight="1" x14ac:dyDescent="0.2">
      <c r="A75"/>
      <c r="B75" s="33" t="s">
        <v>199</v>
      </c>
      <c r="C75" t="s">
        <v>483</v>
      </c>
      <c r="D75" t="s">
        <v>412</v>
      </c>
      <c r="E75" t="s">
        <v>1946</v>
      </c>
      <c r="F75" t="s">
        <v>412</v>
      </c>
      <c r="G75" s="552">
        <v>2021</v>
      </c>
      <c r="H75" s="47"/>
      <c r="J75" t="s">
        <v>1119</v>
      </c>
      <c r="K75" t="s">
        <v>1119</v>
      </c>
      <c r="M75"/>
      <c r="N75" s="60"/>
      <c r="O75" s="43">
        <v>26</v>
      </c>
      <c r="Q75" s="30">
        <f t="shared" si="12"/>
        <v>52</v>
      </c>
      <c r="R75" s="529">
        <f t="shared" si="13"/>
        <v>7.0200000000000005</v>
      </c>
      <c r="S75" s="139">
        <f t="shared" si="8"/>
        <v>0.27</v>
      </c>
      <c r="T75"/>
    </row>
    <row r="76" spans="1:20" s="43" customFormat="1" ht="19" customHeight="1" x14ac:dyDescent="0.2">
      <c r="A76"/>
      <c r="B76" s="33" t="s">
        <v>1534</v>
      </c>
      <c r="C76" t="s">
        <v>1535</v>
      </c>
      <c r="D76" t="s">
        <v>387</v>
      </c>
      <c r="E76" t="s">
        <v>1955</v>
      </c>
      <c r="F76" t="s">
        <v>387</v>
      </c>
      <c r="G76" s="552">
        <v>2016</v>
      </c>
      <c r="H76" s="47">
        <v>1</v>
      </c>
      <c r="I76" s="43" t="s">
        <v>1923</v>
      </c>
      <c r="J76" s="43" t="s">
        <v>1119</v>
      </c>
      <c r="K76" s="43" t="s">
        <v>1119</v>
      </c>
      <c r="M76" s="43">
        <v>10</v>
      </c>
      <c r="O76" s="43">
        <v>100</v>
      </c>
      <c r="Q76" s="43">
        <v>200</v>
      </c>
      <c r="R76" s="529">
        <f t="shared" si="13"/>
        <v>27</v>
      </c>
      <c r="S76" s="139">
        <f t="shared" si="8"/>
        <v>0.27</v>
      </c>
      <c r="T76"/>
    </row>
    <row r="77" spans="1:20" s="43" customFormat="1" ht="19" customHeight="1" x14ac:dyDescent="0.25">
      <c r="A77" s="51"/>
      <c r="B77" s="33" t="s">
        <v>1534</v>
      </c>
      <c r="C77" t="s">
        <v>1536</v>
      </c>
      <c r="D77" t="s">
        <v>1539</v>
      </c>
      <c r="E77" t="s">
        <v>1945</v>
      </c>
      <c r="F77" t="s">
        <v>1121</v>
      </c>
      <c r="G77" s="552">
        <v>2025</v>
      </c>
      <c r="H77" s="47">
        <v>1</v>
      </c>
      <c r="I77" s="43" t="s">
        <v>1923</v>
      </c>
      <c r="J77" s="43" t="s">
        <v>1119</v>
      </c>
      <c r="K77" s="43" t="s">
        <v>1119</v>
      </c>
      <c r="N77" s="153"/>
      <c r="O77" s="30">
        <f>1575-252</f>
        <v>1323</v>
      </c>
      <c r="P77" s="30"/>
      <c r="Q77" s="30">
        <f>O77*2</f>
        <v>2646</v>
      </c>
      <c r="R77" s="529">
        <f t="shared" si="13"/>
        <v>357.21000000000004</v>
      </c>
      <c r="S77" s="139">
        <f t="shared" si="8"/>
        <v>0.27</v>
      </c>
      <c r="T77" t="s">
        <v>1538</v>
      </c>
    </row>
    <row r="78" spans="1:20" s="43" customFormat="1" ht="19" customHeight="1" x14ac:dyDescent="0.25">
      <c r="A78" s="51"/>
      <c r="B78" s="33" t="s">
        <v>1534</v>
      </c>
      <c r="C78" t="s">
        <v>1537</v>
      </c>
      <c r="D78" t="s">
        <v>446</v>
      </c>
      <c r="E78" t="s">
        <v>1945</v>
      </c>
      <c r="F78" t="s">
        <v>1121</v>
      </c>
      <c r="G78" s="552">
        <v>2019</v>
      </c>
      <c r="H78" s="47">
        <v>1</v>
      </c>
      <c r="I78" s="43" t="s">
        <v>1923</v>
      </c>
      <c r="J78" s="43" t="s">
        <v>1119</v>
      </c>
      <c r="K78" s="43" t="s">
        <v>1119</v>
      </c>
      <c r="M78" s="43">
        <v>22</v>
      </c>
      <c r="N78" s="153"/>
      <c r="O78" s="30">
        <v>392</v>
      </c>
      <c r="P78" s="30"/>
      <c r="Q78" s="30">
        <f>O78*2</f>
        <v>784</v>
      </c>
      <c r="R78" s="529">
        <f t="shared" si="13"/>
        <v>105.84</v>
      </c>
      <c r="S78" s="139">
        <f t="shared" si="8"/>
        <v>0.27</v>
      </c>
      <c r="T78"/>
    </row>
    <row r="79" spans="1:20" s="43" customFormat="1" ht="19" customHeight="1" x14ac:dyDescent="0.25">
      <c r="A79" s="51"/>
      <c r="B79" s="33" t="s">
        <v>1534</v>
      </c>
      <c r="C79" t="s">
        <v>1997</v>
      </c>
      <c r="D79" t="s">
        <v>1929</v>
      </c>
      <c r="E79" t="s">
        <v>1942</v>
      </c>
      <c r="F79" t="s">
        <v>1929</v>
      </c>
      <c r="G79" s="552">
        <v>2025</v>
      </c>
      <c r="H79" s="47">
        <v>0.7</v>
      </c>
      <c r="I79" s="43" t="s">
        <v>1923</v>
      </c>
      <c r="J79" s="43" t="s">
        <v>1919</v>
      </c>
      <c r="K79" s="43" t="s">
        <v>1919</v>
      </c>
      <c r="M79" s="43">
        <v>37</v>
      </c>
      <c r="N79" s="153"/>
      <c r="O79" s="30">
        <v>199</v>
      </c>
      <c r="P79" s="30">
        <v>320</v>
      </c>
      <c r="Q79" s="30">
        <f>O79*2</f>
        <v>398</v>
      </c>
      <c r="R79" s="529">
        <f t="shared" si="13"/>
        <v>53.730000000000004</v>
      </c>
      <c r="S79" s="139">
        <f t="shared" si="8"/>
        <v>0.27</v>
      </c>
      <c r="T79"/>
    </row>
  </sheetData>
  <pageMargins left="0.16" right="0.16" top="0.41000000000000009" bottom="0.8" header="0.5" footer="0.10999999999999999"/>
  <pageSetup paperSize="9" scale="36" fitToHeight="2" orientation="portrait"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G44"/>
  <sheetViews>
    <sheetView showGridLines="0" workbookViewId="0">
      <selection activeCell="J10" sqref="J10"/>
    </sheetView>
  </sheetViews>
  <sheetFormatPr baseColWidth="10" defaultRowHeight="16" x14ac:dyDescent="0.2"/>
  <cols>
    <col min="2" max="2" width="55.83203125" customWidth="1"/>
    <col min="7" max="7" width="16.1640625" bestFit="1" customWidth="1"/>
  </cols>
  <sheetData>
    <row r="1" spans="2:6" ht="19" x14ac:dyDescent="0.25">
      <c r="B1" s="208" t="s">
        <v>1964</v>
      </c>
    </row>
    <row r="2" spans="2:6" x14ac:dyDescent="0.2">
      <c r="B2" t="s">
        <v>1977</v>
      </c>
    </row>
    <row r="3" spans="2:6" x14ac:dyDescent="0.2">
      <c r="B3" t="s">
        <v>2067</v>
      </c>
    </row>
    <row r="4" spans="2:6" x14ac:dyDescent="0.2">
      <c r="B4" t="s">
        <v>2068</v>
      </c>
    </row>
    <row r="5" spans="2:6" x14ac:dyDescent="0.2">
      <c r="B5" s="479" t="s">
        <v>1915</v>
      </c>
      <c r="C5" s="480"/>
      <c r="D5" s="480"/>
      <c r="E5" s="480"/>
      <c r="F5" s="480"/>
    </row>
    <row r="6" spans="2:6" x14ac:dyDescent="0.2">
      <c r="B6" s="611" t="s">
        <v>1896</v>
      </c>
      <c r="C6" s="611"/>
      <c r="D6" s="611"/>
      <c r="E6" s="611"/>
      <c r="F6" s="611"/>
    </row>
    <row r="7" spans="2:6" ht="32" x14ac:dyDescent="0.2">
      <c r="B7" s="481" t="s">
        <v>188</v>
      </c>
      <c r="C7" s="482" t="s">
        <v>1897</v>
      </c>
      <c r="D7" s="483" t="s">
        <v>1898</v>
      </c>
      <c r="E7" s="483" t="s">
        <v>1899</v>
      </c>
      <c r="F7" s="483" t="s">
        <v>1900</v>
      </c>
    </row>
    <row r="8" spans="2:6" x14ac:dyDescent="0.2">
      <c r="B8" s="484" t="s">
        <v>24</v>
      </c>
      <c r="C8" s="485">
        <v>237</v>
      </c>
      <c r="D8" s="485">
        <v>6115</v>
      </c>
      <c r="E8" s="485">
        <v>11421</v>
      </c>
      <c r="F8" s="485">
        <v>12108</v>
      </c>
    </row>
    <row r="9" spans="2:6" x14ac:dyDescent="0.2">
      <c r="B9" s="484" t="s">
        <v>1679</v>
      </c>
      <c r="C9" s="485">
        <v>652</v>
      </c>
      <c r="D9" s="485">
        <v>5626</v>
      </c>
      <c r="E9" s="485">
        <v>11036</v>
      </c>
      <c r="F9" s="485">
        <v>12344</v>
      </c>
    </row>
    <row r="10" spans="2:6" x14ac:dyDescent="0.2">
      <c r="B10" s="486" t="s">
        <v>199</v>
      </c>
      <c r="C10" s="487">
        <v>261</v>
      </c>
      <c r="D10" s="487">
        <v>496</v>
      </c>
      <c r="E10" s="487">
        <v>655</v>
      </c>
      <c r="F10" s="487">
        <v>692</v>
      </c>
    </row>
    <row r="11" spans="2:6" x14ac:dyDescent="0.2">
      <c r="B11" s="488" t="s">
        <v>1965</v>
      </c>
      <c r="C11" s="478">
        <f>SUM(C8:C10)</f>
        <v>1150</v>
      </c>
      <c r="D11" s="478">
        <f t="shared" ref="D11:F11" si="0">SUM(D8:D10)</f>
        <v>12237</v>
      </c>
      <c r="E11" s="478">
        <f t="shared" si="0"/>
        <v>23112</v>
      </c>
      <c r="F11" s="478">
        <f t="shared" si="0"/>
        <v>25144</v>
      </c>
    </row>
    <row r="12" spans="2:6" x14ac:dyDescent="0.2">
      <c r="B12" s="484" t="s">
        <v>1892</v>
      </c>
      <c r="C12" s="492">
        <f>C11/C41</f>
        <v>0.31645569620253167</v>
      </c>
      <c r="D12" s="492">
        <f>D11/D41</f>
        <v>0.48683163590070017</v>
      </c>
      <c r="E12" s="492">
        <f>E11/E41</f>
        <v>0.46686193313806684</v>
      </c>
      <c r="F12" s="492">
        <f>F11/F41</f>
        <v>0.46356077505945686</v>
      </c>
    </row>
    <row r="13" spans="2:6" x14ac:dyDescent="0.2">
      <c r="B13" s="493"/>
      <c r="C13" s="494"/>
      <c r="D13" s="494"/>
      <c r="E13" s="494"/>
      <c r="F13" s="494"/>
    </row>
    <row r="14" spans="2:6" x14ac:dyDescent="0.2">
      <c r="B14" s="486" t="s">
        <v>1534</v>
      </c>
      <c r="C14" s="487">
        <v>169</v>
      </c>
      <c r="D14" s="487">
        <v>1348</v>
      </c>
      <c r="E14" s="487">
        <v>2759</v>
      </c>
      <c r="F14" s="487">
        <v>3119</v>
      </c>
    </row>
    <row r="15" spans="2:6" x14ac:dyDescent="0.2">
      <c r="B15" s="488" t="s">
        <v>1894</v>
      </c>
      <c r="C15" s="489">
        <f>C11+C14</f>
        <v>1319</v>
      </c>
      <c r="D15" s="489">
        <f t="shared" ref="D15:F15" si="1">D11+D14</f>
        <v>13585</v>
      </c>
      <c r="E15" s="489">
        <f t="shared" si="1"/>
        <v>25871</v>
      </c>
      <c r="F15" s="489">
        <f t="shared" si="1"/>
        <v>28263</v>
      </c>
    </row>
    <row r="16" spans="2:6" x14ac:dyDescent="0.2">
      <c r="B16" s="484" t="s">
        <v>1893</v>
      </c>
      <c r="C16" s="497">
        <f>C15/C41</f>
        <v>0.36296092460099066</v>
      </c>
      <c r="D16" s="497">
        <f>D15/D41</f>
        <v>0.54045989815404205</v>
      </c>
      <c r="E16" s="497">
        <f>E15/E41</f>
        <v>0.52259367740632257</v>
      </c>
      <c r="F16" s="497">
        <f>F15/F41</f>
        <v>0.5210634022234103</v>
      </c>
    </row>
    <row r="17" spans="2:7" x14ac:dyDescent="0.2">
      <c r="B17" s="484" t="s">
        <v>2065</v>
      </c>
      <c r="C17" s="583">
        <f>C15*0.3</f>
        <v>395.7</v>
      </c>
      <c r="D17" s="583">
        <f>D15*0.3</f>
        <v>4075.5</v>
      </c>
      <c r="E17" s="583">
        <f>E15*0.3</f>
        <v>7761.2999999999993</v>
      </c>
      <c r="F17" s="583">
        <f>F15*0.3</f>
        <v>8478.9</v>
      </c>
    </row>
    <row r="18" spans="2:7" ht="32" x14ac:dyDescent="0.2">
      <c r="B18" s="484" t="s">
        <v>2064</v>
      </c>
      <c r="C18" s="584">
        <f>(C17/15*7)/420</f>
        <v>0.43966666666666665</v>
      </c>
      <c r="D18" s="584">
        <f t="shared" ref="D18:F18" si="2">(D17/15*7)/420</f>
        <v>4.5283333333333333</v>
      </c>
      <c r="E18" s="584">
        <f t="shared" si="2"/>
        <v>8.623666666666665</v>
      </c>
      <c r="F18" s="584">
        <f t="shared" si="2"/>
        <v>9.4209999999999994</v>
      </c>
    </row>
    <row r="19" spans="2:7" x14ac:dyDescent="0.2">
      <c r="B19" s="581"/>
      <c r="C19" s="582"/>
      <c r="D19" s="582"/>
      <c r="E19" s="582"/>
      <c r="F19" s="582"/>
    </row>
    <row r="20" spans="2:7" x14ac:dyDescent="0.2">
      <c r="B20" s="486" t="s">
        <v>1788</v>
      </c>
      <c r="C20" s="487">
        <v>675</v>
      </c>
      <c r="D20" s="487">
        <v>1926</v>
      </c>
      <c r="E20" s="487">
        <v>4393</v>
      </c>
      <c r="F20" s="487">
        <v>4430</v>
      </c>
    </row>
    <row r="21" spans="2:7" x14ac:dyDescent="0.2">
      <c r="B21" s="488" t="s">
        <v>1895</v>
      </c>
      <c r="C21" s="489">
        <f>C20+C15</f>
        <v>1994</v>
      </c>
      <c r="D21" s="489">
        <f>D20+D15</f>
        <v>15511</v>
      </c>
      <c r="E21" s="489">
        <f>E20+E15</f>
        <v>30264</v>
      </c>
      <c r="F21" s="489">
        <f>F20+F15</f>
        <v>32693</v>
      </c>
    </row>
    <row r="22" spans="2:7" x14ac:dyDescent="0.2">
      <c r="B22" s="484" t="s">
        <v>1893</v>
      </c>
      <c r="C22" s="497">
        <f>C21/C41</f>
        <v>0.54870665932856355</v>
      </c>
      <c r="D22" s="497">
        <f>D21/D41</f>
        <v>0.61708306810948443</v>
      </c>
      <c r="E22" s="497">
        <f>E21/E41</f>
        <v>0.61133218866781136</v>
      </c>
      <c r="F22" s="497">
        <f>F21/F41</f>
        <v>0.6027359377592596</v>
      </c>
    </row>
    <row r="23" spans="2:7" x14ac:dyDescent="0.2">
      <c r="B23" s="484" t="s">
        <v>2070</v>
      </c>
      <c r="C23" s="583">
        <f>C21*0.3</f>
        <v>598.19999999999993</v>
      </c>
      <c r="D23" s="583">
        <f t="shared" ref="D23:F23" si="3">D21*0.3</f>
        <v>4653.3</v>
      </c>
      <c r="E23" s="583">
        <f t="shared" si="3"/>
        <v>9079.1999999999989</v>
      </c>
      <c r="F23" s="583">
        <f t="shared" si="3"/>
        <v>9807.9</v>
      </c>
    </row>
    <row r="24" spans="2:7" x14ac:dyDescent="0.2">
      <c r="B24" s="484" t="s">
        <v>2063</v>
      </c>
      <c r="C24" s="584">
        <f>(C23/15*7)/420</f>
        <v>0.66466666666666663</v>
      </c>
      <c r="D24" s="584">
        <f t="shared" ref="D24" si="4">(D23/15*7)/420</f>
        <v>5.1703333333333337</v>
      </c>
      <c r="E24" s="584">
        <f t="shared" ref="E24" si="5">(E23/15*7)/420</f>
        <v>10.088000000000001</v>
      </c>
      <c r="F24" s="584">
        <f t="shared" ref="F24" si="6">(F23/15*7)/420</f>
        <v>10.897666666666668</v>
      </c>
    </row>
    <row r="25" spans="2:7" x14ac:dyDescent="0.2">
      <c r="B25" s="495"/>
      <c r="C25" s="496"/>
      <c r="D25" s="496"/>
      <c r="E25" s="496"/>
      <c r="F25" s="496"/>
    </row>
    <row r="26" spans="2:7" x14ac:dyDescent="0.2">
      <c r="B26" s="484" t="s">
        <v>1914</v>
      </c>
      <c r="C26" s="485">
        <v>578</v>
      </c>
      <c r="D26" s="485">
        <v>2389</v>
      </c>
      <c r="E26" s="485">
        <v>3518</v>
      </c>
      <c r="F26" s="485">
        <v>3555</v>
      </c>
      <c r="G26" t="s">
        <v>1966</v>
      </c>
    </row>
    <row r="27" spans="2:7" x14ac:dyDescent="0.2">
      <c r="B27" s="484" t="s">
        <v>1905</v>
      </c>
      <c r="C27" s="485">
        <v>438</v>
      </c>
      <c r="D27" s="485">
        <v>1337</v>
      </c>
      <c r="E27" s="485">
        <v>2808</v>
      </c>
      <c r="F27" s="485">
        <v>2845</v>
      </c>
    </row>
    <row r="28" spans="2:7" x14ac:dyDescent="0.2">
      <c r="B28" s="484" t="s">
        <v>1910</v>
      </c>
      <c r="C28" s="485">
        <v>11</v>
      </c>
      <c r="D28" s="485">
        <v>472</v>
      </c>
      <c r="E28" s="485">
        <v>1573</v>
      </c>
      <c r="F28" s="485">
        <v>2660</v>
      </c>
    </row>
    <row r="29" spans="2:7" x14ac:dyDescent="0.2">
      <c r="B29" s="484" t="s">
        <v>1911</v>
      </c>
      <c r="C29" s="485">
        <v>79</v>
      </c>
      <c r="D29" s="485">
        <v>676</v>
      </c>
      <c r="E29" s="485">
        <v>2150</v>
      </c>
      <c r="F29" s="485">
        <v>2233</v>
      </c>
    </row>
    <row r="30" spans="2:7" x14ac:dyDescent="0.2">
      <c r="B30" s="484" t="s">
        <v>1906</v>
      </c>
      <c r="C30" s="485">
        <v>43</v>
      </c>
      <c r="D30" s="485">
        <v>984</v>
      </c>
      <c r="E30" s="485">
        <v>1798</v>
      </c>
      <c r="F30" s="485">
        <v>1835</v>
      </c>
    </row>
    <row r="31" spans="2:7" x14ac:dyDescent="0.2">
      <c r="B31" s="484" t="s">
        <v>1913</v>
      </c>
      <c r="C31" s="485">
        <v>11</v>
      </c>
      <c r="D31" s="485">
        <v>468</v>
      </c>
      <c r="E31" s="485">
        <v>1138</v>
      </c>
      <c r="F31" s="485">
        <v>1831</v>
      </c>
    </row>
    <row r="32" spans="2:7" x14ac:dyDescent="0.2">
      <c r="B32" s="484" t="s">
        <v>1908</v>
      </c>
      <c r="C32" s="485">
        <v>34</v>
      </c>
      <c r="D32" s="485">
        <v>738</v>
      </c>
      <c r="E32" s="485">
        <v>1698</v>
      </c>
      <c r="F32" s="485">
        <v>1735</v>
      </c>
    </row>
    <row r="33" spans="2:6" x14ac:dyDescent="0.2">
      <c r="B33" s="484" t="s">
        <v>1904</v>
      </c>
      <c r="C33" s="485">
        <v>11</v>
      </c>
      <c r="D33" s="485">
        <v>738</v>
      </c>
      <c r="E33" s="485">
        <v>1396</v>
      </c>
      <c r="F33" s="485">
        <v>1433</v>
      </c>
    </row>
    <row r="34" spans="2:6" x14ac:dyDescent="0.2">
      <c r="B34" s="484" t="s">
        <v>1907</v>
      </c>
      <c r="C34" s="485">
        <v>32</v>
      </c>
      <c r="D34" s="485">
        <v>297</v>
      </c>
      <c r="E34" s="485">
        <v>756</v>
      </c>
      <c r="F34" s="485">
        <v>793</v>
      </c>
    </row>
    <row r="35" spans="2:6" x14ac:dyDescent="0.2">
      <c r="B35" s="484" t="s">
        <v>1902</v>
      </c>
      <c r="C35" s="485">
        <v>270</v>
      </c>
      <c r="D35" s="485">
        <v>585</v>
      </c>
      <c r="E35" s="485">
        <v>727</v>
      </c>
      <c r="F35" s="485">
        <v>764</v>
      </c>
    </row>
    <row r="36" spans="2:6" x14ac:dyDescent="0.2">
      <c r="B36" s="484" t="s">
        <v>1909</v>
      </c>
      <c r="C36" s="485">
        <v>-8</v>
      </c>
      <c r="D36" s="485">
        <v>254</v>
      </c>
      <c r="E36" s="485">
        <v>657</v>
      </c>
      <c r="F36" s="485">
        <v>694</v>
      </c>
    </row>
    <row r="37" spans="2:6" x14ac:dyDescent="0.2">
      <c r="B37" s="484" t="s">
        <v>1901</v>
      </c>
      <c r="C37" s="485">
        <v>23</v>
      </c>
      <c r="D37" s="485">
        <v>369</v>
      </c>
      <c r="E37" s="485">
        <v>457</v>
      </c>
      <c r="F37" s="485">
        <v>494</v>
      </c>
    </row>
    <row r="38" spans="2:6" x14ac:dyDescent="0.2">
      <c r="B38" s="484" t="s">
        <v>1912</v>
      </c>
      <c r="C38" s="485">
        <v>11</v>
      </c>
      <c r="D38" s="485">
        <v>62</v>
      </c>
      <c r="E38" s="485">
        <v>205</v>
      </c>
      <c r="F38" s="485">
        <v>242</v>
      </c>
    </row>
    <row r="39" spans="2:6" x14ac:dyDescent="0.2">
      <c r="B39" s="484" t="s">
        <v>1903</v>
      </c>
      <c r="C39" s="485">
        <v>48</v>
      </c>
      <c r="D39" s="485">
        <v>133</v>
      </c>
      <c r="E39" s="485">
        <v>200</v>
      </c>
      <c r="F39" s="485">
        <v>237</v>
      </c>
    </row>
    <row r="40" spans="2:6" x14ac:dyDescent="0.2">
      <c r="B40" s="484" t="s">
        <v>1839</v>
      </c>
      <c r="C40" s="485">
        <v>59</v>
      </c>
      <c r="D40" s="485">
        <v>123</v>
      </c>
      <c r="E40" s="485">
        <v>160</v>
      </c>
      <c r="F40" s="485">
        <v>197</v>
      </c>
    </row>
    <row r="41" spans="2:6" x14ac:dyDescent="0.2">
      <c r="B41" s="490" t="s">
        <v>588</v>
      </c>
      <c r="C41" s="491">
        <v>3634</v>
      </c>
      <c r="D41" s="491">
        <v>25136</v>
      </c>
      <c r="E41" s="491">
        <v>49505</v>
      </c>
      <c r="F41" s="491">
        <v>54241</v>
      </c>
    </row>
    <row r="43" spans="2:6" ht="28" x14ac:dyDescent="0.3">
      <c r="B43" s="476"/>
    </row>
    <row r="44" spans="2:6" ht="28" x14ac:dyDescent="0.3">
      <c r="B44" s="477"/>
    </row>
  </sheetData>
  <sortState ref="B20:F34">
    <sortCondition descending="1" ref="F20:F34"/>
  </sortState>
  <mergeCells count="1">
    <mergeCell ref="B6:F6"/>
  </mergeCells>
  <phoneticPr fontId="10" type="noConversion"/>
  <pageMargins left="0.39370078740157483" right="0.39370078740157483" top="0.55314960629921262" bottom="0.55314960629921262" header="0.30000000000000004" footer="0.30000000000000004"/>
  <pageSetup paperSize="9" scale="77"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W56"/>
  <sheetViews>
    <sheetView showGridLines="0" workbookViewId="0">
      <selection activeCell="D22" sqref="D22"/>
    </sheetView>
  </sheetViews>
  <sheetFormatPr baseColWidth="10" defaultRowHeight="16" outlineLevelCol="1" x14ac:dyDescent="0.2"/>
  <cols>
    <col min="1" max="1" width="32.5" customWidth="1"/>
    <col min="2" max="2" width="9.5" hidden="1" customWidth="1" outlineLevel="1"/>
    <col min="3" max="3" width="10.83203125" customWidth="1" collapsed="1"/>
    <col min="5" max="5" width="10.83203125" hidden="1" customWidth="1" outlineLevel="1"/>
    <col min="6" max="6" width="10.83203125" collapsed="1"/>
    <col min="8" max="8" width="14" hidden="1" customWidth="1" outlineLevel="1"/>
    <col min="9" max="9" width="10" bestFit="1" customWidth="1" collapsed="1"/>
    <col min="10" max="10" width="9.83203125" bestFit="1" customWidth="1"/>
    <col min="11" max="11" width="8.5" customWidth="1"/>
    <col min="12" max="12" width="18.33203125" hidden="1" customWidth="1" outlineLevel="1"/>
    <col min="13" max="13" width="10.83203125" collapsed="1"/>
    <col min="15" max="15" width="18.5" bestFit="1" customWidth="1"/>
    <col min="16" max="16" width="6" bestFit="1" customWidth="1"/>
    <col min="17" max="17" width="6.5" bestFit="1" customWidth="1"/>
    <col min="19" max="20" width="6.33203125" bestFit="1" customWidth="1"/>
    <col min="21" max="21" width="7.1640625" bestFit="1" customWidth="1"/>
    <col min="22" max="22" width="7" bestFit="1" customWidth="1"/>
    <col min="23" max="23" width="7.33203125" bestFit="1" customWidth="1"/>
  </cols>
  <sheetData>
    <row r="1" spans="1:23" ht="19" x14ac:dyDescent="0.25">
      <c r="A1" s="208" t="s">
        <v>1366</v>
      </c>
    </row>
    <row r="2" spans="1:23" ht="19" x14ac:dyDescent="0.25">
      <c r="A2" s="142" t="s">
        <v>1367</v>
      </c>
    </row>
    <row r="3" spans="1:23" ht="19" x14ac:dyDescent="0.25">
      <c r="A3" s="142" t="s">
        <v>1368</v>
      </c>
    </row>
    <row r="5" spans="1:23" ht="59" customHeight="1" x14ac:dyDescent="0.2">
      <c r="A5" s="282" t="s">
        <v>1364</v>
      </c>
      <c r="B5" s="283" t="s">
        <v>431</v>
      </c>
      <c r="C5" s="284" t="s">
        <v>1260</v>
      </c>
      <c r="D5" s="283" t="s">
        <v>1358</v>
      </c>
      <c r="E5" s="283" t="s">
        <v>1365</v>
      </c>
      <c r="F5" s="283" t="s">
        <v>1360</v>
      </c>
      <c r="G5" s="283" t="s">
        <v>1359</v>
      </c>
      <c r="H5" s="284" t="s">
        <v>1256</v>
      </c>
      <c r="I5" s="285" t="s">
        <v>1370</v>
      </c>
      <c r="J5" s="285" t="s">
        <v>1371</v>
      </c>
      <c r="K5" s="284" t="s">
        <v>1261</v>
      </c>
      <c r="L5" s="284" t="s">
        <v>1369</v>
      </c>
      <c r="O5" s="305" t="s">
        <v>1364</v>
      </c>
      <c r="P5" s="306" t="s">
        <v>1260</v>
      </c>
      <c r="Q5" s="307" t="s">
        <v>1358</v>
      </c>
      <c r="R5" s="307" t="s">
        <v>1381</v>
      </c>
      <c r="S5" s="307" t="s">
        <v>1382</v>
      </c>
      <c r="T5" s="306" t="s">
        <v>1256</v>
      </c>
      <c r="U5" s="308" t="s">
        <v>1370</v>
      </c>
      <c r="V5" s="308" t="s">
        <v>1371</v>
      </c>
      <c r="W5" s="306" t="s">
        <v>1261</v>
      </c>
    </row>
    <row r="6" spans="1:23" ht="7" customHeight="1" x14ac:dyDescent="0.2">
      <c r="D6" s="153"/>
      <c r="E6" s="153"/>
      <c r="F6" s="153"/>
      <c r="G6" s="43"/>
      <c r="H6" s="43"/>
      <c r="I6" s="43"/>
      <c r="J6" s="43"/>
      <c r="O6" s="291"/>
      <c r="P6" s="291"/>
      <c r="Q6" s="292"/>
      <c r="R6" s="292"/>
      <c r="S6" s="293"/>
      <c r="T6" s="293"/>
      <c r="U6" s="293"/>
      <c r="V6" s="293"/>
      <c r="W6" s="291"/>
    </row>
    <row r="7" spans="1:23" x14ac:dyDescent="0.2">
      <c r="A7" t="s">
        <v>1548</v>
      </c>
      <c r="D7" s="30">
        <v>1100</v>
      </c>
      <c r="E7" s="153"/>
      <c r="F7" s="153"/>
      <c r="G7" s="43">
        <v>405</v>
      </c>
      <c r="H7" s="43"/>
      <c r="I7" s="43"/>
      <c r="J7" s="43"/>
      <c r="O7" s="291"/>
      <c r="P7" s="291"/>
      <c r="Q7" s="292"/>
      <c r="R7" s="292"/>
      <c r="S7" s="293"/>
      <c r="T7" s="293"/>
      <c r="U7" s="293"/>
      <c r="V7" s="293"/>
      <c r="W7" s="291"/>
    </row>
    <row r="8" spans="1:23" ht="7" customHeight="1" x14ac:dyDescent="0.2">
      <c r="D8" s="153"/>
      <c r="E8" s="153"/>
      <c r="F8" s="153"/>
      <c r="G8" s="43"/>
      <c r="H8" s="43"/>
      <c r="I8" s="43"/>
      <c r="J8" s="43"/>
      <c r="O8" s="291"/>
      <c r="P8" s="291"/>
      <c r="Q8" s="292"/>
      <c r="R8" s="292"/>
      <c r="S8" s="293"/>
      <c r="T8" s="293"/>
      <c r="U8" s="293"/>
      <c r="V8" s="293"/>
      <c r="W8" s="291"/>
    </row>
    <row r="9" spans="1:23" s="56" customFormat="1" ht="20" customHeight="1" x14ac:dyDescent="0.2">
      <c r="A9" s="274" t="s">
        <v>434</v>
      </c>
      <c r="B9" s="274" t="s">
        <v>412</v>
      </c>
      <c r="C9" s="57">
        <v>984</v>
      </c>
      <c r="D9" s="275">
        <v>5803</v>
      </c>
      <c r="E9" s="275">
        <v>1100</v>
      </c>
      <c r="F9" s="276">
        <f t="shared" ref="F9:F21" si="0">D9/E9-1</f>
        <v>4.2754545454545454</v>
      </c>
      <c r="G9" s="275">
        <f>C9/K9</f>
        <v>3514.2857142857138</v>
      </c>
      <c r="H9" s="57">
        <v>5</v>
      </c>
      <c r="I9" s="57">
        <v>239</v>
      </c>
      <c r="J9" s="277">
        <f>I9*3.28</f>
        <v>783.92</v>
      </c>
      <c r="K9" s="277">
        <v>0.28000000000000003</v>
      </c>
      <c r="O9" s="294" t="s">
        <v>51</v>
      </c>
      <c r="P9" s="295">
        <v>984</v>
      </c>
      <c r="Q9" s="296">
        <v>5803</v>
      </c>
      <c r="R9" s="297">
        <v>4.2754545454545454</v>
      </c>
      <c r="S9" s="296">
        <v>3514.2857142857138</v>
      </c>
      <c r="T9" s="295">
        <v>5</v>
      </c>
      <c r="U9" s="296">
        <v>239</v>
      </c>
      <c r="V9" s="296">
        <v>783.92</v>
      </c>
      <c r="W9" s="309">
        <v>0.28000000000000003</v>
      </c>
    </row>
    <row r="10" spans="1:23" s="56" customFormat="1" ht="20" customHeight="1" x14ac:dyDescent="0.2">
      <c r="A10" s="274" t="s">
        <v>376</v>
      </c>
      <c r="B10" s="274" t="s">
        <v>1357</v>
      </c>
      <c r="C10" s="275">
        <v>685</v>
      </c>
      <c r="D10" s="275">
        <v>5403</v>
      </c>
      <c r="E10" s="275">
        <v>1100</v>
      </c>
      <c r="F10" s="276">
        <f t="shared" si="0"/>
        <v>3.9118181818181821</v>
      </c>
      <c r="G10" s="275">
        <f>C10/K10</f>
        <v>1776.4522821576763</v>
      </c>
      <c r="H10" s="278" t="s">
        <v>1352</v>
      </c>
      <c r="I10" s="57">
        <v>213.5</v>
      </c>
      <c r="J10" s="277">
        <f t="shared" ref="J10:J20" si="1">I10*3.28</f>
        <v>700.28</v>
      </c>
      <c r="K10" s="277">
        <v>0.3856</v>
      </c>
      <c r="L10" s="56" t="s">
        <v>1372</v>
      </c>
      <c r="O10" s="294" t="s">
        <v>365</v>
      </c>
      <c r="P10" s="296">
        <v>685</v>
      </c>
      <c r="Q10" s="296">
        <v>5403</v>
      </c>
      <c r="R10" s="297">
        <v>3.9118181818181821</v>
      </c>
      <c r="S10" s="296">
        <v>1776.4522821576763</v>
      </c>
      <c r="T10" s="298" t="s">
        <v>1352</v>
      </c>
      <c r="U10" s="296">
        <v>213.5</v>
      </c>
      <c r="V10" s="296">
        <v>700.28</v>
      </c>
      <c r="W10" s="309">
        <v>0.3856</v>
      </c>
    </row>
    <row r="11" spans="1:23" s="56" customFormat="1" ht="20" customHeight="1" x14ac:dyDescent="0.2">
      <c r="A11" s="274" t="s">
        <v>1506</v>
      </c>
      <c r="B11" s="274" t="s">
        <v>412</v>
      </c>
      <c r="C11" s="275">
        <v>756</v>
      </c>
      <c r="D11" s="279">
        <v>3357</v>
      </c>
      <c r="E11" s="275">
        <v>1100</v>
      </c>
      <c r="F11" s="276">
        <f t="shared" si="0"/>
        <v>2.0518181818181818</v>
      </c>
      <c r="G11" s="275">
        <f>C11/K11</f>
        <v>1400</v>
      </c>
      <c r="H11" s="57">
        <v>4</v>
      </c>
      <c r="I11" s="57">
        <v>188</v>
      </c>
      <c r="J11" s="277">
        <f t="shared" si="1"/>
        <v>616.64</v>
      </c>
      <c r="K11" s="277">
        <v>0.54</v>
      </c>
      <c r="O11" s="294" t="s">
        <v>59</v>
      </c>
      <c r="P11" s="296">
        <v>756</v>
      </c>
      <c r="Q11" s="296">
        <v>3357</v>
      </c>
      <c r="R11" s="297">
        <v>2.0518181818181818</v>
      </c>
      <c r="S11" s="296">
        <v>1400</v>
      </c>
      <c r="T11" s="295">
        <v>4</v>
      </c>
      <c r="U11" s="296">
        <v>188</v>
      </c>
      <c r="V11" s="296">
        <v>616.64</v>
      </c>
      <c r="W11" s="309">
        <v>0.54</v>
      </c>
    </row>
    <row r="12" spans="1:23" s="56" customFormat="1" ht="20" customHeight="1" x14ac:dyDescent="0.2">
      <c r="A12" s="274" t="s">
        <v>466</v>
      </c>
      <c r="B12" s="274" t="s">
        <v>412</v>
      </c>
      <c r="C12" s="275">
        <v>423</v>
      </c>
      <c r="D12" s="275">
        <v>2850</v>
      </c>
      <c r="E12" s="275">
        <v>1100</v>
      </c>
      <c r="F12" s="276">
        <f t="shared" si="0"/>
        <v>1.5909090909090908</v>
      </c>
      <c r="G12" s="275">
        <f>C12/K12</f>
        <v>1113.1578947368421</v>
      </c>
      <c r="H12" s="57">
        <v>4</v>
      </c>
      <c r="I12" s="57">
        <v>187</v>
      </c>
      <c r="J12" s="277">
        <f t="shared" si="1"/>
        <v>613.36</v>
      </c>
      <c r="K12" s="277">
        <v>0.38</v>
      </c>
      <c r="O12" s="294" t="s">
        <v>195</v>
      </c>
      <c r="P12" s="296">
        <v>423</v>
      </c>
      <c r="Q12" s="296">
        <v>2850</v>
      </c>
      <c r="R12" s="297">
        <v>1.5909090909090908</v>
      </c>
      <c r="S12" s="296">
        <v>1113.1578947368421</v>
      </c>
      <c r="T12" s="295">
        <v>4</v>
      </c>
      <c r="U12" s="296">
        <v>187</v>
      </c>
      <c r="V12" s="296">
        <v>613.36</v>
      </c>
      <c r="W12" s="309">
        <v>0.38</v>
      </c>
    </row>
    <row r="13" spans="1:23" s="56" customFormat="1" ht="20" customHeight="1" x14ac:dyDescent="0.2">
      <c r="A13" s="196" t="s">
        <v>1361</v>
      </c>
      <c r="B13" s="274" t="s">
        <v>412</v>
      </c>
      <c r="C13" s="57">
        <v>575</v>
      </c>
      <c r="D13" s="183">
        <v>2738</v>
      </c>
      <c r="E13" s="275">
        <v>1100</v>
      </c>
      <c r="F13" s="276">
        <f t="shared" si="0"/>
        <v>1.4890909090909092</v>
      </c>
      <c r="G13" s="275">
        <v>1138</v>
      </c>
      <c r="H13" s="57">
        <v>5</v>
      </c>
      <c r="I13" s="57">
        <v>226</v>
      </c>
      <c r="J13" s="277">
        <f t="shared" si="1"/>
        <v>741.28</v>
      </c>
      <c r="K13" s="277">
        <f>C13/G13</f>
        <v>0.50527240773286464</v>
      </c>
      <c r="O13" s="299" t="s">
        <v>1379</v>
      </c>
      <c r="P13" s="295">
        <v>575</v>
      </c>
      <c r="Q13" s="300">
        <v>2738</v>
      </c>
      <c r="R13" s="297">
        <v>1.4890909090909092</v>
      </c>
      <c r="S13" s="296">
        <v>1138</v>
      </c>
      <c r="T13" s="295">
        <v>5</v>
      </c>
      <c r="U13" s="296">
        <v>226</v>
      </c>
      <c r="V13" s="296">
        <v>741.28</v>
      </c>
      <c r="W13" s="309">
        <v>0.50527240773286464</v>
      </c>
    </row>
    <row r="14" spans="1:23" s="56" customFormat="1" ht="20" customHeight="1" x14ac:dyDescent="0.2">
      <c r="A14" s="274" t="s">
        <v>1373</v>
      </c>
      <c r="B14" s="274" t="s">
        <v>412</v>
      </c>
      <c r="C14" s="57">
        <v>414</v>
      </c>
      <c r="D14" s="275">
        <v>2558</v>
      </c>
      <c r="E14" s="275">
        <v>1100</v>
      </c>
      <c r="F14" s="276">
        <f t="shared" si="0"/>
        <v>1.3254545454545457</v>
      </c>
      <c r="G14" s="275">
        <f t="shared" ref="G14:G22" si="2">C14/K14</f>
        <v>1035</v>
      </c>
      <c r="H14" s="57" t="s">
        <v>1355</v>
      </c>
      <c r="I14" s="57"/>
      <c r="J14" s="277"/>
      <c r="K14" s="277">
        <v>0.4</v>
      </c>
      <c r="O14" s="294" t="s">
        <v>136</v>
      </c>
      <c r="P14" s="295">
        <v>414</v>
      </c>
      <c r="Q14" s="296">
        <v>2558</v>
      </c>
      <c r="R14" s="297">
        <v>1.3254545454545457</v>
      </c>
      <c r="S14" s="296">
        <v>1035</v>
      </c>
      <c r="T14" s="295" t="s">
        <v>1355</v>
      </c>
      <c r="U14" s="296"/>
      <c r="V14" s="296"/>
      <c r="W14" s="309">
        <v>0.4</v>
      </c>
    </row>
    <row r="15" spans="1:23" s="56" customFormat="1" ht="20" customHeight="1" x14ac:dyDescent="0.2">
      <c r="A15" s="274" t="s">
        <v>178</v>
      </c>
      <c r="B15" s="274" t="s">
        <v>412</v>
      </c>
      <c r="C15" s="275">
        <v>901</v>
      </c>
      <c r="D15" s="275">
        <v>2492</v>
      </c>
      <c r="E15" s="275">
        <v>1100</v>
      </c>
      <c r="F15" s="276">
        <f t="shared" si="0"/>
        <v>1.2654545454545456</v>
      </c>
      <c r="G15" s="275">
        <f t="shared" si="2"/>
        <v>868.0154142581888</v>
      </c>
      <c r="H15" s="57">
        <v>4</v>
      </c>
      <c r="I15" s="57">
        <v>148</v>
      </c>
      <c r="J15" s="277">
        <f t="shared" si="1"/>
        <v>485.44</v>
      </c>
      <c r="K15" s="277">
        <v>1.038</v>
      </c>
      <c r="O15" s="294" t="s">
        <v>178</v>
      </c>
      <c r="P15" s="296">
        <v>901</v>
      </c>
      <c r="Q15" s="296">
        <v>2492</v>
      </c>
      <c r="R15" s="297">
        <v>1.2654545454545456</v>
      </c>
      <c r="S15" s="296">
        <v>868.0154142581888</v>
      </c>
      <c r="T15" s="295">
        <v>4</v>
      </c>
      <c r="U15" s="296">
        <v>148</v>
      </c>
      <c r="V15" s="296">
        <v>485.44</v>
      </c>
      <c r="W15" s="309">
        <v>1.038</v>
      </c>
    </row>
    <row r="16" spans="1:23" s="56" customFormat="1" ht="20" customHeight="1" x14ac:dyDescent="0.2">
      <c r="A16" s="274" t="s">
        <v>298</v>
      </c>
      <c r="B16" s="274" t="s">
        <v>412</v>
      </c>
      <c r="C16" s="275">
        <v>888</v>
      </c>
      <c r="D16" s="275">
        <v>2140</v>
      </c>
      <c r="E16" s="275">
        <v>1100</v>
      </c>
      <c r="F16" s="276">
        <f t="shared" si="0"/>
        <v>0.94545454545454555</v>
      </c>
      <c r="G16" s="275">
        <f t="shared" si="2"/>
        <v>826.04651162790697</v>
      </c>
      <c r="H16" s="57">
        <v>4</v>
      </c>
      <c r="I16" s="57">
        <v>220</v>
      </c>
      <c r="J16" s="277">
        <f t="shared" si="1"/>
        <v>721.59999999999991</v>
      </c>
      <c r="K16" s="277">
        <v>1.075</v>
      </c>
      <c r="L16" s="56" t="s">
        <v>1304</v>
      </c>
      <c r="O16" s="294" t="s">
        <v>102</v>
      </c>
      <c r="P16" s="296">
        <v>888</v>
      </c>
      <c r="Q16" s="296">
        <v>2140</v>
      </c>
      <c r="R16" s="297">
        <v>0.94545454545454555</v>
      </c>
      <c r="S16" s="296">
        <v>826.04651162790697</v>
      </c>
      <c r="T16" s="295">
        <v>4</v>
      </c>
      <c r="U16" s="296">
        <v>220</v>
      </c>
      <c r="V16" s="296">
        <v>721.59999999999991</v>
      </c>
      <c r="W16" s="309">
        <v>1.075</v>
      </c>
    </row>
    <row r="17" spans="1:23" s="56" customFormat="1" ht="20" customHeight="1" x14ac:dyDescent="0.2">
      <c r="A17" s="274" t="s">
        <v>1362</v>
      </c>
      <c r="B17" s="274" t="s">
        <v>412</v>
      </c>
      <c r="C17" s="57">
        <v>190</v>
      </c>
      <c r="D17" s="275">
        <v>2103</v>
      </c>
      <c r="E17" s="275">
        <v>1100</v>
      </c>
      <c r="F17" s="276">
        <f t="shared" si="0"/>
        <v>0.91181818181818186</v>
      </c>
      <c r="G17" s="275">
        <f t="shared" si="2"/>
        <v>760</v>
      </c>
      <c r="H17" s="57">
        <v>5</v>
      </c>
      <c r="I17" s="57"/>
      <c r="J17" s="277"/>
      <c r="K17" s="277">
        <v>0.25</v>
      </c>
      <c r="N17" s="280"/>
      <c r="O17" s="294" t="s">
        <v>137</v>
      </c>
      <c r="P17" s="295">
        <v>190</v>
      </c>
      <c r="Q17" s="296">
        <v>2103</v>
      </c>
      <c r="R17" s="297">
        <v>0.91181818181818186</v>
      </c>
      <c r="S17" s="296">
        <v>760</v>
      </c>
      <c r="T17" s="295">
        <v>5</v>
      </c>
      <c r="U17" s="296"/>
      <c r="V17" s="296"/>
      <c r="W17" s="309">
        <v>0.25</v>
      </c>
    </row>
    <row r="18" spans="1:23" s="56" customFormat="1" ht="20" customHeight="1" x14ac:dyDescent="0.2">
      <c r="A18" s="274" t="s">
        <v>44</v>
      </c>
      <c r="B18" s="274" t="s">
        <v>412</v>
      </c>
      <c r="C18" s="275">
        <v>3600</v>
      </c>
      <c r="D18" s="275">
        <v>1796</v>
      </c>
      <c r="E18" s="275">
        <v>1100</v>
      </c>
      <c r="F18" s="276">
        <f t="shared" si="0"/>
        <v>0.6327272727272728</v>
      </c>
      <c r="G18" s="275">
        <f t="shared" si="2"/>
        <v>786.02620087336243</v>
      </c>
      <c r="H18" s="281" t="s">
        <v>1352</v>
      </c>
      <c r="I18" s="57">
        <v>211.5</v>
      </c>
      <c r="J18" s="277">
        <f t="shared" si="1"/>
        <v>693.71999999999991</v>
      </c>
      <c r="K18" s="277">
        <v>4.58</v>
      </c>
      <c r="L18" s="56" t="s">
        <v>1374</v>
      </c>
      <c r="O18" s="294" t="s">
        <v>44</v>
      </c>
      <c r="P18" s="296">
        <v>3600</v>
      </c>
      <c r="Q18" s="296">
        <v>1796</v>
      </c>
      <c r="R18" s="297">
        <v>0.6327272727272728</v>
      </c>
      <c r="S18" s="296">
        <v>786.02620087336243</v>
      </c>
      <c r="T18" s="301" t="s">
        <v>1352</v>
      </c>
      <c r="U18" s="296">
        <v>211.5</v>
      </c>
      <c r="V18" s="296">
        <v>693.71999999999991</v>
      </c>
      <c r="W18" s="309">
        <v>4.58</v>
      </c>
    </row>
    <row r="19" spans="1:23" s="56" customFormat="1" ht="20" customHeight="1" x14ac:dyDescent="0.2">
      <c r="A19" s="274" t="s">
        <v>179</v>
      </c>
      <c r="B19" s="274" t="s">
        <v>412</v>
      </c>
      <c r="C19" s="275">
        <v>1500</v>
      </c>
      <c r="D19" s="275">
        <v>1785</v>
      </c>
      <c r="E19" s="275">
        <v>1100</v>
      </c>
      <c r="F19" s="276">
        <f t="shared" si="0"/>
        <v>0.6227272727272728</v>
      </c>
      <c r="G19" s="275">
        <f t="shared" si="2"/>
        <v>576.92307692307691</v>
      </c>
      <c r="H19" s="57">
        <v>4</v>
      </c>
      <c r="I19" s="57">
        <v>146.6</v>
      </c>
      <c r="J19" s="277">
        <f t="shared" si="1"/>
        <v>480.84799999999996</v>
      </c>
      <c r="K19" s="277">
        <v>2.6</v>
      </c>
      <c r="O19" s="294" t="s">
        <v>179</v>
      </c>
      <c r="P19" s="296">
        <v>1500</v>
      </c>
      <c r="Q19" s="296">
        <v>1785</v>
      </c>
      <c r="R19" s="297">
        <v>0.6227272727272728</v>
      </c>
      <c r="S19" s="296">
        <v>576.92307692307691</v>
      </c>
      <c r="T19" s="295">
        <v>4</v>
      </c>
      <c r="U19" s="296">
        <v>146.6</v>
      </c>
      <c r="V19" s="296">
        <v>480.84799999999996</v>
      </c>
      <c r="W19" s="309">
        <v>2.6</v>
      </c>
    </row>
    <row r="20" spans="1:23" s="56" customFormat="1" ht="20" customHeight="1" x14ac:dyDescent="0.2">
      <c r="A20" s="274" t="s">
        <v>1363</v>
      </c>
      <c r="B20" s="274" t="s">
        <v>412</v>
      </c>
      <c r="C20" s="275">
        <v>484</v>
      </c>
      <c r="D20" s="275">
        <v>1429</v>
      </c>
      <c r="E20" s="275">
        <v>1100</v>
      </c>
      <c r="F20" s="276">
        <f t="shared" si="0"/>
        <v>0.29909090909090907</v>
      </c>
      <c r="G20" s="275">
        <f t="shared" si="2"/>
        <v>543.82022471910113</v>
      </c>
      <c r="H20" s="57">
        <v>4</v>
      </c>
      <c r="I20" s="57">
        <v>142</v>
      </c>
      <c r="J20" s="277">
        <f t="shared" si="1"/>
        <v>465.76</v>
      </c>
      <c r="K20" s="277">
        <v>0.89</v>
      </c>
      <c r="O20" s="294" t="s">
        <v>135</v>
      </c>
      <c r="P20" s="296">
        <v>484</v>
      </c>
      <c r="Q20" s="296">
        <v>1429</v>
      </c>
      <c r="R20" s="297">
        <v>0.29909090909090907</v>
      </c>
      <c r="S20" s="296">
        <v>543.82022471910113</v>
      </c>
      <c r="T20" s="295">
        <v>4</v>
      </c>
      <c r="U20" s="296">
        <v>142</v>
      </c>
      <c r="V20" s="296">
        <v>465.76</v>
      </c>
      <c r="W20" s="309">
        <v>0.89</v>
      </c>
    </row>
    <row r="21" spans="1:23" s="56" customFormat="1" ht="20" customHeight="1" x14ac:dyDescent="0.2">
      <c r="A21" s="274" t="s">
        <v>474</v>
      </c>
      <c r="B21" s="274" t="s">
        <v>412</v>
      </c>
      <c r="C21" s="288">
        <v>167</v>
      </c>
      <c r="D21" s="275">
        <v>1320</v>
      </c>
      <c r="E21" s="275">
        <v>1100</v>
      </c>
      <c r="F21" s="276">
        <f t="shared" si="0"/>
        <v>0.19999999999999996</v>
      </c>
      <c r="G21" s="288">
        <f t="shared" si="2"/>
        <v>575.86206896551732</v>
      </c>
      <c r="H21" s="57">
        <v>4</v>
      </c>
      <c r="I21" s="57"/>
      <c r="J21" s="57"/>
      <c r="K21" s="289">
        <v>0.28999999999999998</v>
      </c>
      <c r="O21" s="294" t="s">
        <v>1380</v>
      </c>
      <c r="P21" s="302">
        <v>167</v>
      </c>
      <c r="Q21" s="296">
        <v>1320</v>
      </c>
      <c r="R21" s="297">
        <v>0.19999999999999996</v>
      </c>
      <c r="S21" s="302">
        <v>575.86206896551732</v>
      </c>
      <c r="T21" s="295">
        <v>4</v>
      </c>
      <c r="U21" s="296"/>
      <c r="V21" s="296"/>
      <c r="W21" s="310">
        <v>0.28999999999999998</v>
      </c>
    </row>
    <row r="22" spans="1:23" x14ac:dyDescent="0.2">
      <c r="A22" s="286" t="s">
        <v>1375</v>
      </c>
      <c r="C22" s="44">
        <f>SUM(C9:C21)</f>
        <v>11567</v>
      </c>
      <c r="D22" s="43"/>
      <c r="E22" s="43"/>
      <c r="F22" s="43"/>
      <c r="G22" s="287">
        <f t="shared" si="2"/>
        <v>875.36791964412339</v>
      </c>
      <c r="H22" s="43"/>
      <c r="I22" s="43"/>
      <c r="J22" s="43"/>
      <c r="K22" s="287">
        <f>SUM(K9:K21)</f>
        <v>13.213872407732863</v>
      </c>
      <c r="O22" s="290" t="s">
        <v>1375</v>
      </c>
      <c r="P22" s="304">
        <v>11567</v>
      </c>
      <c r="Q22" s="273"/>
      <c r="R22" s="273"/>
      <c r="S22" s="303">
        <v>875.36791964412339</v>
      </c>
      <c r="T22" s="273"/>
      <c r="U22" s="273"/>
      <c r="V22" s="273"/>
      <c r="W22" s="303">
        <v>13.213872407732863</v>
      </c>
    </row>
    <row r="23" spans="1:23" x14ac:dyDescent="0.2">
      <c r="A23" s="274"/>
      <c r="D23" s="43"/>
      <c r="E23" s="43"/>
      <c r="F23" s="43"/>
      <c r="G23" s="43"/>
      <c r="H23" s="43"/>
      <c r="I23" s="43"/>
      <c r="J23" s="43"/>
    </row>
    <row r="24" spans="1:23" x14ac:dyDescent="0.2">
      <c r="J24" s="43"/>
    </row>
    <row r="25" spans="1:23" x14ac:dyDescent="0.2">
      <c r="J25" s="43"/>
    </row>
    <row r="26" spans="1:23" x14ac:dyDescent="0.2">
      <c r="J26" s="43"/>
    </row>
    <row r="27" spans="1:23" x14ac:dyDescent="0.2">
      <c r="J27" s="43"/>
    </row>
    <row r="28" spans="1:23" x14ac:dyDescent="0.2">
      <c r="J28" s="43"/>
    </row>
    <row r="29" spans="1:23" x14ac:dyDescent="0.2">
      <c r="J29" s="43"/>
    </row>
    <row r="43" spans="1:9" x14ac:dyDescent="0.2">
      <c r="A43" t="s">
        <v>531</v>
      </c>
      <c r="D43" t="s">
        <v>532</v>
      </c>
      <c r="I43" s="43"/>
    </row>
    <row r="44" spans="1:9" x14ac:dyDescent="0.2">
      <c r="D44" t="s">
        <v>533</v>
      </c>
      <c r="G44" t="s">
        <v>534</v>
      </c>
      <c r="H44" t="s">
        <v>535</v>
      </c>
      <c r="I44" s="43"/>
    </row>
    <row r="45" spans="1:9" x14ac:dyDescent="0.2">
      <c r="A45" t="s">
        <v>536</v>
      </c>
      <c r="D45" t="s">
        <v>538</v>
      </c>
      <c r="G45" t="s">
        <v>539</v>
      </c>
      <c r="H45" t="s">
        <v>540</v>
      </c>
      <c r="I45" s="43"/>
    </row>
    <row r="46" spans="1:9" x14ac:dyDescent="0.2">
      <c r="A46" t="s">
        <v>541</v>
      </c>
      <c r="D46" t="s">
        <v>542</v>
      </c>
      <c r="G46" t="s">
        <v>543</v>
      </c>
      <c r="H46" t="s">
        <v>544</v>
      </c>
      <c r="I46" s="43"/>
    </row>
    <row r="47" spans="1:9" x14ac:dyDescent="0.2">
      <c r="A47" t="s">
        <v>545</v>
      </c>
      <c r="D47" t="s">
        <v>546</v>
      </c>
      <c r="G47" t="s">
        <v>547</v>
      </c>
      <c r="H47" t="s">
        <v>548</v>
      </c>
      <c r="I47" s="43"/>
    </row>
    <row r="48" spans="1:9" x14ac:dyDescent="0.2">
      <c r="A48" t="s">
        <v>549</v>
      </c>
      <c r="D48" t="s">
        <v>550</v>
      </c>
      <c r="G48" t="s">
        <v>551</v>
      </c>
      <c r="H48" t="s">
        <v>552</v>
      </c>
      <c r="I48" s="43"/>
    </row>
    <row r="49" spans="1:8" x14ac:dyDescent="0.2">
      <c r="A49" t="s">
        <v>553</v>
      </c>
      <c r="D49" t="s">
        <v>554</v>
      </c>
    </row>
    <row r="50" spans="1:8" x14ac:dyDescent="0.2">
      <c r="A50" t="s">
        <v>555</v>
      </c>
      <c r="D50" t="s">
        <v>543</v>
      </c>
      <c r="G50" t="s">
        <v>556</v>
      </c>
      <c r="H50" t="s">
        <v>557</v>
      </c>
    </row>
    <row r="51" spans="1:8" x14ac:dyDescent="0.2">
      <c r="A51" t="s">
        <v>545</v>
      </c>
      <c r="D51" t="s">
        <v>547</v>
      </c>
      <c r="G51" t="s">
        <v>558</v>
      </c>
      <c r="H51" t="s">
        <v>559</v>
      </c>
    </row>
    <row r="52" spans="1:8" x14ac:dyDescent="0.2">
      <c r="A52" t="s">
        <v>549</v>
      </c>
      <c r="D52" t="s">
        <v>551</v>
      </c>
      <c r="G52" t="s">
        <v>560</v>
      </c>
      <c r="H52" t="s">
        <v>561</v>
      </c>
    </row>
    <row r="53" spans="1:8" x14ac:dyDescent="0.2">
      <c r="A53" t="s">
        <v>537</v>
      </c>
      <c r="D53" t="s">
        <v>562</v>
      </c>
      <c r="H53" t="s">
        <v>563</v>
      </c>
    </row>
    <row r="54" spans="1:8" x14ac:dyDescent="0.2">
      <c r="A54" t="s">
        <v>541</v>
      </c>
      <c r="D54" t="s">
        <v>564</v>
      </c>
      <c r="G54" t="s">
        <v>565</v>
      </c>
      <c r="H54" t="s">
        <v>566</v>
      </c>
    </row>
    <row r="55" spans="1:8" x14ac:dyDescent="0.2">
      <c r="A55" t="s">
        <v>545</v>
      </c>
      <c r="D55" t="s">
        <v>567</v>
      </c>
      <c r="G55" t="s">
        <v>568</v>
      </c>
      <c r="H55" t="s">
        <v>569</v>
      </c>
    </row>
    <row r="56" spans="1:8" x14ac:dyDescent="0.2">
      <c r="A56" t="s">
        <v>549</v>
      </c>
      <c r="D56" t="s">
        <v>570</v>
      </c>
      <c r="G56" t="s">
        <v>571</v>
      </c>
      <c r="H56" t="s">
        <v>572</v>
      </c>
    </row>
  </sheetData>
  <sortState ref="A4:L16">
    <sortCondition descending="1" ref="D4:D16"/>
  </sortState>
  <phoneticPr fontId="10" type="noConversion"/>
  <pageMargins left="0.1631496062992126" right="0.1631496062992126" top="0.41314960629921266" bottom="0.8" header="0.5" footer="0.10629921259842522"/>
  <pageSetup paperSize="9" orientation="landscape"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H17"/>
  <sheetViews>
    <sheetView showGridLines="0" workbookViewId="0">
      <selection activeCell="E16" sqref="E16"/>
    </sheetView>
  </sheetViews>
  <sheetFormatPr baseColWidth="10" defaultRowHeight="16" x14ac:dyDescent="0.2"/>
  <cols>
    <col min="1" max="1" width="4.5" customWidth="1"/>
    <col min="2" max="2" width="5.5" bestFit="1" customWidth="1"/>
    <col min="3" max="3" width="24" customWidth="1"/>
    <col min="4" max="4" width="23.6640625" customWidth="1"/>
    <col min="5" max="5" width="25.1640625" customWidth="1"/>
    <col min="6" max="6" width="6" bestFit="1" customWidth="1"/>
    <col min="7" max="7" width="9.1640625" bestFit="1" customWidth="1"/>
    <col min="8" max="8" width="21.33203125" customWidth="1"/>
  </cols>
  <sheetData>
    <row r="1" spans="2:8" ht="19" x14ac:dyDescent="0.25">
      <c r="B1" s="208" t="s">
        <v>1967</v>
      </c>
    </row>
    <row r="2" spans="2:8" ht="17" thickBot="1" x14ac:dyDescent="0.25"/>
    <row r="3" spans="2:8" ht="22" thickBot="1" x14ac:dyDescent="0.25">
      <c r="B3" s="256" t="s">
        <v>1316</v>
      </c>
      <c r="C3" s="256" t="s">
        <v>1317</v>
      </c>
      <c r="D3" s="256" t="s">
        <v>1318</v>
      </c>
      <c r="E3" s="256" t="s">
        <v>431</v>
      </c>
      <c r="F3" s="256" t="s">
        <v>1319</v>
      </c>
      <c r="G3" s="257" t="s">
        <v>1320</v>
      </c>
    </row>
    <row r="4" spans="2:8" ht="21" thickTop="1" thickBot="1" x14ac:dyDescent="0.25">
      <c r="B4" s="258">
        <v>1</v>
      </c>
      <c r="C4" s="258" t="s">
        <v>1321</v>
      </c>
      <c r="D4" s="258" t="s">
        <v>48</v>
      </c>
      <c r="E4" s="258" t="s">
        <v>387</v>
      </c>
      <c r="F4" s="259">
        <v>5</v>
      </c>
      <c r="G4" s="259">
        <v>301</v>
      </c>
    </row>
    <row r="5" spans="2:8" ht="20" thickBot="1" x14ac:dyDescent="0.25">
      <c r="B5" s="262">
        <v>2</v>
      </c>
      <c r="C5" s="262" t="s">
        <v>1324</v>
      </c>
      <c r="D5" s="262" t="s">
        <v>1325</v>
      </c>
      <c r="E5" s="262" t="s">
        <v>387</v>
      </c>
      <c r="F5" s="263">
        <v>5</v>
      </c>
      <c r="G5" s="263">
        <v>142</v>
      </c>
    </row>
    <row r="6" spans="2:8" ht="20" thickBot="1" x14ac:dyDescent="0.25">
      <c r="B6" s="260">
        <v>3</v>
      </c>
      <c r="C6" s="260" t="s">
        <v>1326</v>
      </c>
      <c r="D6" s="260" t="s">
        <v>1327</v>
      </c>
      <c r="E6" s="260" t="s">
        <v>387</v>
      </c>
      <c r="F6" s="261">
        <v>4</v>
      </c>
      <c r="G6" s="261">
        <v>442</v>
      </c>
      <c r="H6" s="272" t="s">
        <v>1968</v>
      </c>
    </row>
    <row r="7" spans="2:8" ht="20" thickBot="1" x14ac:dyDescent="0.25">
      <c r="B7" s="262">
        <v>4</v>
      </c>
      <c r="C7" s="262" t="s">
        <v>1328</v>
      </c>
      <c r="D7" s="262" t="s">
        <v>1327</v>
      </c>
      <c r="E7" s="262" t="s">
        <v>387</v>
      </c>
      <c r="F7" s="263">
        <v>5</v>
      </c>
      <c r="G7" s="263">
        <v>282</v>
      </c>
    </row>
    <row r="8" spans="2:8" ht="20" thickBot="1" x14ac:dyDescent="0.25">
      <c r="B8" s="262">
        <v>5</v>
      </c>
      <c r="C8" s="262" t="s">
        <v>1330</v>
      </c>
      <c r="D8" s="262" t="s">
        <v>26</v>
      </c>
      <c r="E8" s="262" t="s">
        <v>387</v>
      </c>
      <c r="F8" s="263">
        <v>2</v>
      </c>
      <c r="G8" s="263">
        <v>87</v>
      </c>
    </row>
    <row r="9" spans="2:8" ht="20" thickBot="1" x14ac:dyDescent="0.25">
      <c r="B9" s="260">
        <v>6</v>
      </c>
      <c r="C9" s="260" t="s">
        <v>1331</v>
      </c>
      <c r="D9" s="260" t="s">
        <v>26</v>
      </c>
      <c r="E9" s="260" t="s">
        <v>387</v>
      </c>
      <c r="F9" s="261">
        <v>5</v>
      </c>
      <c r="G9" s="261">
        <v>169</v>
      </c>
    </row>
    <row r="10" spans="2:8" ht="20" thickBot="1" x14ac:dyDescent="0.25">
      <c r="B10" s="262">
        <v>7</v>
      </c>
      <c r="C10" s="262" t="s">
        <v>1332</v>
      </c>
      <c r="D10" s="262" t="s">
        <v>1333</v>
      </c>
      <c r="E10" s="262" t="s">
        <v>387</v>
      </c>
      <c r="F10" s="263">
        <v>3</v>
      </c>
      <c r="G10" s="263">
        <v>232</v>
      </c>
    </row>
    <row r="11" spans="2:8" ht="20" thickBot="1" x14ac:dyDescent="0.25">
      <c r="B11" s="260">
        <v>8</v>
      </c>
      <c r="C11" s="260" t="s">
        <v>1329</v>
      </c>
      <c r="D11" s="260" t="s">
        <v>1327</v>
      </c>
      <c r="E11" s="260" t="s">
        <v>482</v>
      </c>
      <c r="F11" s="261">
        <v>4</v>
      </c>
      <c r="G11" s="261">
        <v>305</v>
      </c>
      <c r="H11" s="272" t="s">
        <v>1969</v>
      </c>
    </row>
    <row r="12" spans="2:8" ht="20" thickBot="1" x14ac:dyDescent="0.25">
      <c r="B12" s="262">
        <v>9</v>
      </c>
      <c r="C12" s="262" t="s">
        <v>93</v>
      </c>
      <c r="D12" s="262" t="s">
        <v>96</v>
      </c>
      <c r="E12" s="262" t="s">
        <v>482</v>
      </c>
      <c r="F12" s="263" t="s">
        <v>11</v>
      </c>
      <c r="G12" s="263">
        <v>100</v>
      </c>
      <c r="H12" s="525" t="s">
        <v>1970</v>
      </c>
    </row>
    <row r="13" spans="2:8" ht="20" thickBot="1" x14ac:dyDescent="0.25">
      <c r="B13" s="260">
        <v>10</v>
      </c>
      <c r="C13" s="260" t="s">
        <v>44</v>
      </c>
      <c r="D13" s="260" t="s">
        <v>24</v>
      </c>
      <c r="E13" s="260" t="s">
        <v>1121</v>
      </c>
      <c r="F13" s="261" t="s">
        <v>11</v>
      </c>
      <c r="G13" s="261">
        <v>300</v>
      </c>
      <c r="H13" s="272" t="s">
        <v>1350</v>
      </c>
    </row>
    <row r="14" spans="2:8" ht="20" thickBot="1" x14ac:dyDescent="0.25">
      <c r="B14" s="262">
        <v>11</v>
      </c>
      <c r="C14" s="262" t="s">
        <v>365</v>
      </c>
      <c r="D14" s="262" t="s">
        <v>1327</v>
      </c>
      <c r="E14" s="262" t="s">
        <v>412</v>
      </c>
      <c r="F14" s="263">
        <v>4</v>
      </c>
      <c r="G14" s="263">
        <v>273</v>
      </c>
    </row>
    <row r="15" spans="2:8" ht="20" thickBot="1" x14ac:dyDescent="0.25">
      <c r="B15" s="260">
        <v>12</v>
      </c>
      <c r="C15" s="260" t="s">
        <v>1322</v>
      </c>
      <c r="D15" s="260" t="s">
        <v>1323</v>
      </c>
      <c r="E15" s="260" t="s">
        <v>387</v>
      </c>
      <c r="F15" s="261">
        <v>3</v>
      </c>
      <c r="G15" s="261">
        <v>130</v>
      </c>
    </row>
    <row r="16" spans="2:8" ht="20" thickBot="1" x14ac:dyDescent="0.25">
      <c r="B16" s="262">
        <v>13</v>
      </c>
      <c r="C16" s="262" t="s">
        <v>1973</v>
      </c>
      <c r="D16" s="262" t="s">
        <v>1975</v>
      </c>
      <c r="E16" s="262" t="s">
        <v>1976</v>
      </c>
      <c r="F16" s="263" t="s">
        <v>11</v>
      </c>
      <c r="G16" s="263">
        <v>320</v>
      </c>
      <c r="H16" s="525" t="s">
        <v>1974</v>
      </c>
    </row>
    <row r="17" spans="6:7" ht="20" thickBot="1" x14ac:dyDescent="0.25">
      <c r="F17" s="264" t="s">
        <v>238</v>
      </c>
      <c r="G17" s="265">
        <f>SUM(G4:G16)</f>
        <v>3083</v>
      </c>
    </row>
  </sheetData>
  <sortState ref="B3:G15">
    <sortCondition ref="E3:E15"/>
  </sortState>
  <phoneticPr fontId="10" type="noConversion"/>
  <pageMargins left="0.1631496062992126" right="0.1631496062992126" top="0.41314960629921266" bottom="0.8" header="0.5" footer="0.10629921259842522"/>
  <pageSetup paperSize="9" orientation="landscape"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F95"/>
  <sheetViews>
    <sheetView showGridLines="0" workbookViewId="0">
      <selection activeCell="C12" sqref="C12"/>
    </sheetView>
  </sheetViews>
  <sheetFormatPr baseColWidth="10" defaultRowHeight="16" x14ac:dyDescent="0.2"/>
  <cols>
    <col min="1" max="1" width="3.5" customWidth="1"/>
    <col min="2" max="2" width="5.1640625" bestFit="1" customWidth="1"/>
    <col min="3" max="3" width="33.1640625" bestFit="1" customWidth="1"/>
    <col min="4" max="4" width="13.1640625" bestFit="1" customWidth="1"/>
    <col min="5" max="5" width="7.5" style="43" customWidth="1"/>
    <col min="6" max="6" width="9.1640625" customWidth="1"/>
  </cols>
  <sheetData>
    <row r="1" spans="1:6" x14ac:dyDescent="0.2">
      <c r="A1" s="32" t="s">
        <v>381</v>
      </c>
    </row>
    <row r="4" spans="1:6" x14ac:dyDescent="0.2">
      <c r="B4" s="155" t="s">
        <v>370</v>
      </c>
      <c r="C4" s="155" t="s">
        <v>81</v>
      </c>
      <c r="D4" s="155" t="s">
        <v>373</v>
      </c>
      <c r="E4" s="70" t="s">
        <v>371</v>
      </c>
    </row>
    <row r="5" spans="1:6" x14ac:dyDescent="0.2">
      <c r="B5" s="65">
        <v>12</v>
      </c>
      <c r="C5" t="s">
        <v>369</v>
      </c>
      <c r="D5" s="30">
        <v>180.6</v>
      </c>
      <c r="E5" s="43">
        <v>52</v>
      </c>
      <c r="F5" t="s">
        <v>382</v>
      </c>
    </row>
    <row r="6" spans="1:6" x14ac:dyDescent="0.2">
      <c r="B6" s="65">
        <v>11</v>
      </c>
      <c r="C6" t="s">
        <v>375</v>
      </c>
      <c r="D6" s="30">
        <v>187</v>
      </c>
      <c r="E6" s="43">
        <v>53</v>
      </c>
    </row>
    <row r="7" spans="1:6" x14ac:dyDescent="0.2">
      <c r="B7" s="65">
        <v>10</v>
      </c>
      <c r="C7" s="33" t="s">
        <v>1504</v>
      </c>
      <c r="D7" s="30">
        <v>188.4</v>
      </c>
      <c r="E7" s="61">
        <v>55</v>
      </c>
    </row>
    <row r="8" spans="1:6" x14ac:dyDescent="0.2">
      <c r="B8" s="65">
        <v>9</v>
      </c>
      <c r="C8" t="s">
        <v>1505</v>
      </c>
      <c r="D8" s="30">
        <v>190</v>
      </c>
      <c r="E8" s="43">
        <v>55</v>
      </c>
    </row>
    <row r="9" spans="1:6" x14ac:dyDescent="0.2">
      <c r="B9" s="65">
        <v>8</v>
      </c>
      <c r="C9" t="s">
        <v>429</v>
      </c>
      <c r="D9" s="30">
        <v>198.6</v>
      </c>
      <c r="E9" s="43">
        <v>51</v>
      </c>
    </row>
    <row r="10" spans="1:6" x14ac:dyDescent="0.2">
      <c r="B10" s="65">
        <v>7</v>
      </c>
      <c r="C10" t="s">
        <v>383</v>
      </c>
      <c r="D10" s="30">
        <v>200</v>
      </c>
      <c r="E10" s="43">
        <v>58</v>
      </c>
    </row>
    <row r="11" spans="1:6" x14ac:dyDescent="0.2">
      <c r="B11" s="65">
        <v>6</v>
      </c>
      <c r="C11" s="126" t="s">
        <v>376</v>
      </c>
      <c r="D11" s="30">
        <v>204</v>
      </c>
      <c r="E11" s="43">
        <v>60</v>
      </c>
    </row>
    <row r="12" spans="1:6" x14ac:dyDescent="0.2">
      <c r="B12" s="65">
        <v>5</v>
      </c>
      <c r="C12" t="s">
        <v>374</v>
      </c>
      <c r="D12" s="30">
        <v>204.5</v>
      </c>
      <c r="E12" s="43">
        <v>50</v>
      </c>
    </row>
    <row r="13" spans="1:6" x14ac:dyDescent="0.2">
      <c r="B13" s="65">
        <v>4</v>
      </c>
      <c r="C13" s="37" t="s">
        <v>1135</v>
      </c>
      <c r="D13" s="30">
        <v>218</v>
      </c>
      <c r="E13" s="63">
        <v>58</v>
      </c>
    </row>
    <row r="14" spans="1:6" x14ac:dyDescent="0.2">
      <c r="B14" s="65">
        <v>3</v>
      </c>
      <c r="C14" t="s">
        <v>367</v>
      </c>
      <c r="D14" s="30">
        <v>220</v>
      </c>
      <c r="E14" s="43">
        <v>68</v>
      </c>
    </row>
    <row r="15" spans="1:6" x14ac:dyDescent="0.2">
      <c r="B15" s="65">
        <v>2</v>
      </c>
      <c r="C15" t="s">
        <v>297</v>
      </c>
      <c r="D15" s="30">
        <v>239</v>
      </c>
      <c r="E15" s="43">
        <v>75</v>
      </c>
    </row>
    <row r="16" spans="1:6" x14ac:dyDescent="0.2">
      <c r="B16" s="65">
        <v>1</v>
      </c>
      <c r="C16" s="37" t="s">
        <v>302</v>
      </c>
      <c r="D16" s="30">
        <v>242</v>
      </c>
      <c r="E16" s="63">
        <v>67</v>
      </c>
    </row>
    <row r="17" spans="2:6" x14ac:dyDescent="0.2">
      <c r="B17" s="65">
        <v>0</v>
      </c>
      <c r="C17" t="s">
        <v>372</v>
      </c>
      <c r="D17" s="30">
        <v>245</v>
      </c>
      <c r="E17" s="43">
        <v>50</v>
      </c>
    </row>
    <row r="18" spans="2:6" x14ac:dyDescent="0.2">
      <c r="F18" s="65"/>
    </row>
    <row r="19" spans="2:6" x14ac:dyDescent="0.2">
      <c r="B19" s="65"/>
      <c r="D19" s="43"/>
      <c r="F19" s="65"/>
    </row>
    <row r="20" spans="2:6" x14ac:dyDescent="0.2">
      <c r="B20" s="65"/>
      <c r="D20" s="43"/>
      <c r="F20" s="65"/>
    </row>
    <row r="21" spans="2:6" x14ac:dyDescent="0.2">
      <c r="B21" s="155" t="s">
        <v>370</v>
      </c>
      <c r="C21" s="155" t="s">
        <v>81</v>
      </c>
      <c r="D21" s="155" t="s">
        <v>373</v>
      </c>
      <c r="E21" s="70" t="s">
        <v>371</v>
      </c>
      <c r="F21" s="65"/>
    </row>
    <row r="22" spans="2:6" x14ac:dyDescent="0.2">
      <c r="B22" s="65">
        <v>1</v>
      </c>
      <c r="C22" t="s">
        <v>302</v>
      </c>
      <c r="D22" s="43">
        <v>242</v>
      </c>
      <c r="E22" s="43">
        <v>67</v>
      </c>
      <c r="F22" s="65"/>
    </row>
    <row r="23" spans="2:6" x14ac:dyDescent="0.2">
      <c r="B23" s="65">
        <v>2</v>
      </c>
      <c r="C23" t="s">
        <v>297</v>
      </c>
      <c r="D23" s="43">
        <v>239</v>
      </c>
      <c r="E23" s="43">
        <v>75</v>
      </c>
      <c r="F23" s="65"/>
    </row>
    <row r="24" spans="2:6" x14ac:dyDescent="0.2">
      <c r="B24" s="65">
        <v>3</v>
      </c>
      <c r="C24" t="s">
        <v>367</v>
      </c>
      <c r="D24" s="43">
        <v>220</v>
      </c>
      <c r="E24" s="43">
        <v>68</v>
      </c>
      <c r="F24" s="65"/>
    </row>
    <row r="25" spans="2:6" x14ac:dyDescent="0.2">
      <c r="B25" s="65">
        <v>4</v>
      </c>
      <c r="C25" t="s">
        <v>1135</v>
      </c>
      <c r="D25" s="43">
        <v>218</v>
      </c>
      <c r="E25" s="43">
        <v>58</v>
      </c>
      <c r="F25" s="65"/>
    </row>
    <row r="26" spans="2:6" x14ac:dyDescent="0.2">
      <c r="B26" s="65">
        <v>5</v>
      </c>
      <c r="C26" t="s">
        <v>374</v>
      </c>
      <c r="D26" s="43">
        <v>204.5</v>
      </c>
      <c r="E26" s="43">
        <v>50</v>
      </c>
      <c r="F26" s="65"/>
    </row>
    <row r="27" spans="2:6" x14ac:dyDescent="0.2">
      <c r="B27" s="65">
        <v>6</v>
      </c>
      <c r="C27" t="s">
        <v>376</v>
      </c>
      <c r="D27" s="43">
        <v>204</v>
      </c>
      <c r="E27" s="43">
        <v>60</v>
      </c>
      <c r="F27" s="65"/>
    </row>
    <row r="28" spans="2:6" x14ac:dyDescent="0.2">
      <c r="B28" s="65">
        <v>7</v>
      </c>
      <c r="C28" t="s">
        <v>383</v>
      </c>
      <c r="D28" s="43">
        <v>200</v>
      </c>
      <c r="E28" s="43">
        <v>58</v>
      </c>
      <c r="F28" s="65"/>
    </row>
    <row r="29" spans="2:6" x14ac:dyDescent="0.2">
      <c r="B29" s="65">
        <v>8</v>
      </c>
      <c r="C29" t="s">
        <v>429</v>
      </c>
      <c r="D29" s="43">
        <v>198.6</v>
      </c>
      <c r="E29" s="43">
        <v>51</v>
      </c>
      <c r="F29" s="65"/>
    </row>
    <row r="30" spans="2:6" x14ac:dyDescent="0.2">
      <c r="B30" s="65">
        <v>9</v>
      </c>
      <c r="C30" t="s">
        <v>1505</v>
      </c>
      <c r="D30" s="30">
        <v>190</v>
      </c>
      <c r="E30" s="43">
        <v>55</v>
      </c>
      <c r="F30" s="65"/>
    </row>
    <row r="31" spans="2:6" x14ac:dyDescent="0.2">
      <c r="B31" s="65">
        <v>10</v>
      </c>
      <c r="C31" t="s">
        <v>1504</v>
      </c>
      <c r="D31" s="43">
        <v>188.4</v>
      </c>
      <c r="E31" s="43">
        <v>55</v>
      </c>
      <c r="F31" s="65"/>
    </row>
    <row r="32" spans="2:6" x14ac:dyDescent="0.2">
      <c r="B32" s="65">
        <v>11</v>
      </c>
      <c r="C32" t="s">
        <v>375</v>
      </c>
      <c r="D32" s="43">
        <v>187</v>
      </c>
      <c r="E32" s="43">
        <v>53</v>
      </c>
      <c r="F32" s="65"/>
    </row>
    <row r="33" spans="1:6" x14ac:dyDescent="0.2">
      <c r="B33" s="65">
        <v>12</v>
      </c>
      <c r="C33" t="s">
        <v>369</v>
      </c>
      <c r="D33" s="43">
        <v>180.6</v>
      </c>
      <c r="E33" s="43">
        <v>52</v>
      </c>
      <c r="F33" s="65"/>
    </row>
    <row r="34" spans="1:6" x14ac:dyDescent="0.2">
      <c r="B34" s="65"/>
      <c r="D34" s="43"/>
      <c r="F34" s="65"/>
    </row>
    <row r="35" spans="1:6" x14ac:dyDescent="0.2">
      <c r="B35" s="65"/>
      <c r="D35" s="43"/>
      <c r="F35" s="65"/>
    </row>
    <row r="36" spans="1:6" x14ac:dyDescent="0.2">
      <c r="B36" s="65"/>
      <c r="D36" s="43"/>
      <c r="F36" s="65"/>
    </row>
    <row r="37" spans="1:6" x14ac:dyDescent="0.2">
      <c r="B37" s="65"/>
      <c r="D37" s="43"/>
      <c r="F37" s="65"/>
    </row>
    <row r="38" spans="1:6" x14ac:dyDescent="0.2">
      <c r="B38" s="65"/>
      <c r="D38" s="43"/>
      <c r="F38" s="65"/>
    </row>
    <row r="39" spans="1:6" x14ac:dyDescent="0.2">
      <c r="A39" s="65">
        <v>0</v>
      </c>
      <c r="B39" t="s">
        <v>372</v>
      </c>
      <c r="C39" s="43">
        <v>245</v>
      </c>
      <c r="D39">
        <v>50</v>
      </c>
      <c r="F39" s="65">
        <f>3931*10</f>
        <v>39310</v>
      </c>
    </row>
    <row r="40" spans="1:6" x14ac:dyDescent="0.2">
      <c r="B40" s="65"/>
      <c r="D40" s="43"/>
      <c r="F40" s="65"/>
    </row>
    <row r="41" spans="1:6" x14ac:dyDescent="0.2">
      <c r="B41" s="65"/>
      <c r="D41" s="43"/>
      <c r="F41" s="65"/>
    </row>
    <row r="42" spans="1:6" x14ac:dyDescent="0.2">
      <c r="B42" s="65"/>
      <c r="D42" s="43"/>
      <c r="F42" s="65"/>
    </row>
    <row r="43" spans="1:6" x14ac:dyDescent="0.2">
      <c r="B43" s="65"/>
      <c r="D43" s="43"/>
      <c r="F43" s="65"/>
    </row>
    <row r="44" spans="1:6" x14ac:dyDescent="0.2">
      <c r="B44" s="65"/>
      <c r="D44" s="43"/>
      <c r="F44" s="65"/>
    </row>
    <row r="45" spans="1:6" x14ac:dyDescent="0.2">
      <c r="B45" s="65"/>
      <c r="D45" s="43"/>
      <c r="F45" s="65"/>
    </row>
    <row r="46" spans="1:6" x14ac:dyDescent="0.2">
      <c r="B46" s="65"/>
      <c r="D46" s="43"/>
      <c r="F46" s="65"/>
    </row>
    <row r="47" spans="1:6" x14ac:dyDescent="0.2">
      <c r="B47" s="65"/>
      <c r="D47" s="43"/>
      <c r="F47" s="65"/>
    </row>
    <row r="48" spans="1:6" x14ac:dyDescent="0.2">
      <c r="B48" s="65"/>
      <c r="D48" s="43"/>
      <c r="F48" s="65"/>
    </row>
    <row r="49" spans="2:6" x14ac:dyDescent="0.2">
      <c r="B49" s="65"/>
      <c r="D49" s="43"/>
      <c r="F49" s="65"/>
    </row>
    <row r="50" spans="2:6" x14ac:dyDescent="0.2">
      <c r="B50" s="65"/>
      <c r="D50" s="43"/>
      <c r="F50" s="65"/>
    </row>
    <row r="51" spans="2:6" x14ac:dyDescent="0.2">
      <c r="B51" s="65"/>
      <c r="D51" s="43"/>
      <c r="F51" s="65"/>
    </row>
    <row r="52" spans="2:6" x14ac:dyDescent="0.2">
      <c r="B52" s="65"/>
      <c r="D52" s="43"/>
      <c r="F52" s="65"/>
    </row>
    <row r="53" spans="2:6" x14ac:dyDescent="0.2">
      <c r="B53" s="65"/>
      <c r="D53" s="43"/>
      <c r="F53" s="65"/>
    </row>
    <row r="54" spans="2:6" x14ac:dyDescent="0.2">
      <c r="B54" s="65"/>
      <c r="D54" s="43"/>
      <c r="F54" s="65"/>
    </row>
    <row r="55" spans="2:6" x14ac:dyDescent="0.2">
      <c r="B55" s="65"/>
      <c r="D55" s="43"/>
      <c r="F55" s="65"/>
    </row>
    <row r="56" spans="2:6" x14ac:dyDescent="0.2">
      <c r="B56" s="65"/>
      <c r="D56" s="43"/>
      <c r="F56" s="65"/>
    </row>
    <row r="57" spans="2:6" x14ac:dyDescent="0.2">
      <c r="B57" s="65"/>
      <c r="D57" s="43"/>
      <c r="F57" s="65"/>
    </row>
    <row r="58" spans="2:6" x14ac:dyDescent="0.2">
      <c r="B58" s="65"/>
      <c r="D58" s="43"/>
      <c r="F58" s="65"/>
    </row>
    <row r="59" spans="2:6" x14ac:dyDescent="0.2">
      <c r="B59" s="65"/>
      <c r="D59" s="43"/>
      <c r="F59" s="65"/>
    </row>
    <row r="60" spans="2:6" x14ac:dyDescent="0.2">
      <c r="B60" s="65"/>
      <c r="D60" s="43"/>
      <c r="F60" s="65"/>
    </row>
    <row r="61" spans="2:6" x14ac:dyDescent="0.2">
      <c r="B61" s="65"/>
      <c r="D61" s="43"/>
      <c r="F61" s="65"/>
    </row>
    <row r="62" spans="2:6" x14ac:dyDescent="0.2">
      <c r="B62" s="65"/>
      <c r="D62" s="43"/>
      <c r="F62" s="65"/>
    </row>
    <row r="63" spans="2:6" x14ac:dyDescent="0.2">
      <c r="B63" s="65"/>
      <c r="D63" s="43"/>
      <c r="F63" s="65"/>
    </row>
    <row r="64" spans="2:6" x14ac:dyDescent="0.2">
      <c r="B64" s="65"/>
      <c r="D64" s="43"/>
      <c r="F64" s="65"/>
    </row>
    <row r="65" spans="2:6" x14ac:dyDescent="0.2">
      <c r="B65" s="65"/>
      <c r="D65" s="43"/>
      <c r="F65" s="65"/>
    </row>
    <row r="66" spans="2:6" x14ac:dyDescent="0.2">
      <c r="B66" s="65"/>
      <c r="D66" s="43"/>
      <c r="F66" s="65"/>
    </row>
    <row r="67" spans="2:6" x14ac:dyDescent="0.2">
      <c r="B67" s="65"/>
      <c r="D67" s="43"/>
      <c r="F67" s="65"/>
    </row>
    <row r="68" spans="2:6" x14ac:dyDescent="0.2">
      <c r="B68" s="65"/>
      <c r="D68" s="43"/>
      <c r="F68" s="65"/>
    </row>
    <row r="69" spans="2:6" x14ac:dyDescent="0.2">
      <c r="B69" s="65"/>
      <c r="D69" s="43"/>
      <c r="F69" s="65"/>
    </row>
    <row r="70" spans="2:6" x14ac:dyDescent="0.2">
      <c r="B70" s="65"/>
      <c r="D70" s="43"/>
      <c r="F70" s="65"/>
    </row>
    <row r="71" spans="2:6" x14ac:dyDescent="0.2">
      <c r="B71" s="65"/>
      <c r="D71" s="43"/>
      <c r="F71" s="65"/>
    </row>
    <row r="72" spans="2:6" x14ac:dyDescent="0.2">
      <c r="B72" s="65"/>
      <c r="D72" s="43"/>
      <c r="F72" s="65"/>
    </row>
    <row r="73" spans="2:6" x14ac:dyDescent="0.2">
      <c r="B73" s="65"/>
      <c r="D73" s="43"/>
      <c r="F73" s="65"/>
    </row>
    <row r="74" spans="2:6" x14ac:dyDescent="0.2">
      <c r="B74" s="65"/>
      <c r="D74" s="43"/>
      <c r="F74" s="65"/>
    </row>
    <row r="75" spans="2:6" x14ac:dyDescent="0.2">
      <c r="B75" s="65"/>
      <c r="D75" s="43"/>
      <c r="F75" s="65"/>
    </row>
    <row r="76" spans="2:6" x14ac:dyDescent="0.2">
      <c r="B76" s="65"/>
      <c r="D76" s="43"/>
      <c r="F76" s="65"/>
    </row>
    <row r="77" spans="2:6" x14ac:dyDescent="0.2">
      <c r="B77" s="65"/>
      <c r="D77" s="43"/>
      <c r="F77" s="65"/>
    </row>
    <row r="78" spans="2:6" x14ac:dyDescent="0.2">
      <c r="B78" s="65"/>
      <c r="D78" s="43"/>
      <c r="F78" s="65"/>
    </row>
    <row r="79" spans="2:6" x14ac:dyDescent="0.2">
      <c r="B79" s="65"/>
      <c r="D79" s="43"/>
      <c r="F79" s="65"/>
    </row>
    <row r="80" spans="2:6" x14ac:dyDescent="0.2">
      <c r="B80" s="65"/>
      <c r="D80" s="43"/>
      <c r="F80" s="65"/>
    </row>
    <row r="81" spans="2:6" x14ac:dyDescent="0.2">
      <c r="B81" s="65"/>
      <c r="D81" s="43"/>
      <c r="F81" s="65"/>
    </row>
    <row r="82" spans="2:6" x14ac:dyDescent="0.2">
      <c r="B82" s="65"/>
      <c r="D82" s="43"/>
      <c r="F82" s="65"/>
    </row>
    <row r="83" spans="2:6" x14ac:dyDescent="0.2">
      <c r="B83" s="65"/>
      <c r="D83" s="43"/>
      <c r="F83" s="65"/>
    </row>
    <row r="84" spans="2:6" x14ac:dyDescent="0.2">
      <c r="B84" s="65"/>
    </row>
    <row r="85" spans="2:6" x14ac:dyDescent="0.2">
      <c r="B85" s="65"/>
    </row>
    <row r="86" spans="2:6" x14ac:dyDescent="0.2">
      <c r="B86" s="65"/>
    </row>
    <row r="87" spans="2:6" x14ac:dyDescent="0.2">
      <c r="B87" s="65"/>
    </row>
    <row r="88" spans="2:6" x14ac:dyDescent="0.2">
      <c r="B88" s="65"/>
    </row>
    <row r="89" spans="2:6" x14ac:dyDescent="0.2">
      <c r="B89" s="65"/>
    </row>
    <row r="90" spans="2:6" x14ac:dyDescent="0.2">
      <c r="B90" s="65"/>
    </row>
    <row r="91" spans="2:6" x14ac:dyDescent="0.2">
      <c r="B91" s="65"/>
    </row>
    <row r="92" spans="2:6" x14ac:dyDescent="0.2">
      <c r="B92" s="65"/>
    </row>
    <row r="93" spans="2:6" x14ac:dyDescent="0.2">
      <c r="B93" s="65"/>
    </row>
    <row r="94" spans="2:6" x14ac:dyDescent="0.2">
      <c r="B94" s="65"/>
    </row>
    <row r="95" spans="2:6" x14ac:dyDescent="0.2">
      <c r="B95" s="65"/>
    </row>
  </sheetData>
  <sortState ref="B21:E33">
    <sortCondition ref="B21:B33"/>
  </sortState>
  <phoneticPr fontId="10" type="noConversion"/>
  <pageMargins left="0.1631496062992126" right="0.1631496062992126" top="0.41314960629921266" bottom="0.8" header="0.5" footer="0.10629921259842522"/>
  <pageSetup paperSize="9" scale="64" orientation="landscape"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240"/>
  <sheetViews>
    <sheetView showGridLines="0" workbookViewId="0">
      <pane ySplit="4" topLeftCell="A34" activePane="bottomLeft" state="frozen"/>
      <selection activeCell="H28" sqref="H28"/>
      <selection pane="bottomLeft" activeCell="H28" sqref="H28"/>
    </sheetView>
  </sheetViews>
  <sheetFormatPr baseColWidth="10" defaultColWidth="10" defaultRowHeight="12.75" customHeight="1" x14ac:dyDescent="0.15"/>
  <cols>
    <col min="1" max="1" width="36.5" style="200" customWidth="1"/>
    <col min="2" max="2" width="12.1640625" style="201" customWidth="1"/>
    <col min="3" max="3" width="15.5" style="200" bestFit="1" customWidth="1"/>
    <col min="4" max="4" width="17.33203125" style="201" bestFit="1" customWidth="1"/>
    <col min="5" max="5" width="16.83203125" style="201" customWidth="1"/>
    <col min="6" max="6" width="23.5" style="200" customWidth="1"/>
    <col min="7" max="7" width="25.1640625" style="200" customWidth="1"/>
    <col min="8" max="8" width="16.83203125" style="200" customWidth="1"/>
    <col min="9" max="9" width="18.6640625" style="200" bestFit="1" customWidth="1"/>
    <col min="10" max="16384" width="10" style="200"/>
  </cols>
  <sheetData>
    <row r="1" spans="1:9" ht="54" customHeight="1" x14ac:dyDescent="0.15">
      <c r="A1" s="615" t="s">
        <v>1123</v>
      </c>
      <c r="B1" s="615"/>
      <c r="C1" s="615"/>
      <c r="D1" s="615"/>
      <c r="E1" s="615"/>
    </row>
    <row r="2" spans="1:9" ht="16" x14ac:dyDescent="0.2">
      <c r="A2" s="613" t="s">
        <v>1060</v>
      </c>
      <c r="B2" s="614"/>
      <c r="C2" s="614"/>
      <c r="E2" s="612" t="s">
        <v>1057</v>
      </c>
      <c r="F2" s="612"/>
    </row>
    <row r="3" spans="1:9" ht="16" x14ac:dyDescent="0.2">
      <c r="A3" s="613" t="s">
        <v>1059</v>
      </c>
      <c r="B3" s="614"/>
      <c r="C3" s="614"/>
    </row>
    <row r="4" spans="1:9" s="198" customFormat="1" ht="13" x14ac:dyDescent="0.15">
      <c r="A4" s="197" t="s">
        <v>575</v>
      </c>
      <c r="B4" s="202" t="s">
        <v>576</v>
      </c>
      <c r="C4" s="197" t="s">
        <v>577</v>
      </c>
      <c r="D4" s="202" t="s">
        <v>1</v>
      </c>
      <c r="E4" s="202" t="s">
        <v>431</v>
      </c>
      <c r="F4" s="197" t="s">
        <v>578</v>
      </c>
      <c r="G4" s="197" t="s">
        <v>512</v>
      </c>
      <c r="H4" s="197" t="s">
        <v>579</v>
      </c>
      <c r="I4" s="198" t="s">
        <v>1061</v>
      </c>
    </row>
    <row r="5" spans="1:9" ht="13" x14ac:dyDescent="0.15">
      <c r="A5" s="206" t="s">
        <v>919</v>
      </c>
      <c r="B5" s="205" t="s">
        <v>920</v>
      </c>
      <c r="C5" s="204" t="s">
        <v>395</v>
      </c>
      <c r="D5" s="205">
        <v>2018</v>
      </c>
      <c r="E5" s="205" t="s">
        <v>399</v>
      </c>
      <c r="F5" s="204" t="s">
        <v>921</v>
      </c>
      <c r="G5" s="204" t="s">
        <v>668</v>
      </c>
      <c r="H5" s="204" t="s">
        <v>588</v>
      </c>
      <c r="I5" s="209" t="s">
        <v>457</v>
      </c>
    </row>
    <row r="6" spans="1:9" ht="13.5" customHeight="1" x14ac:dyDescent="0.15">
      <c r="A6" s="206" t="s">
        <v>44</v>
      </c>
      <c r="B6" s="205" t="s">
        <v>920</v>
      </c>
      <c r="C6" s="204" t="s">
        <v>698</v>
      </c>
      <c r="D6" s="205"/>
      <c r="E6" s="205" t="s">
        <v>399</v>
      </c>
      <c r="F6" s="204" t="s">
        <v>670</v>
      </c>
      <c r="G6" s="204" t="s">
        <v>668</v>
      </c>
      <c r="H6" s="204" t="s">
        <v>588</v>
      </c>
      <c r="I6" s="209" t="s">
        <v>457</v>
      </c>
    </row>
    <row r="7" spans="1:9" ht="25.5" customHeight="1" x14ac:dyDescent="0.15">
      <c r="A7" s="206" t="s">
        <v>44</v>
      </c>
      <c r="B7" s="205" t="s">
        <v>920</v>
      </c>
      <c r="C7" s="204" t="s">
        <v>395</v>
      </c>
      <c r="D7" s="205"/>
      <c r="E7" s="205" t="s">
        <v>399</v>
      </c>
      <c r="F7" s="204" t="s">
        <v>667</v>
      </c>
      <c r="G7" s="204" t="s">
        <v>668</v>
      </c>
      <c r="H7" s="204" t="s">
        <v>588</v>
      </c>
      <c r="I7" s="209" t="s">
        <v>457</v>
      </c>
    </row>
    <row r="8" spans="1:9" ht="13" x14ac:dyDescent="0.15">
      <c r="A8" s="206" t="s">
        <v>44</v>
      </c>
      <c r="B8" s="205" t="s">
        <v>920</v>
      </c>
      <c r="C8" s="204" t="s">
        <v>698</v>
      </c>
      <c r="D8" s="205"/>
      <c r="E8" s="205" t="s">
        <v>399</v>
      </c>
      <c r="F8" s="204" t="s">
        <v>670</v>
      </c>
      <c r="G8" s="204" t="s">
        <v>668</v>
      </c>
      <c r="H8" s="204" t="s">
        <v>588</v>
      </c>
      <c r="I8" s="209" t="s">
        <v>457</v>
      </c>
    </row>
    <row r="9" spans="1:9" ht="13" x14ac:dyDescent="0.15">
      <c r="A9" s="206" t="s">
        <v>51</v>
      </c>
      <c r="B9" s="205">
        <v>75</v>
      </c>
      <c r="C9" s="204" t="s">
        <v>395</v>
      </c>
      <c r="D9" s="205" t="s">
        <v>585</v>
      </c>
      <c r="E9" s="205" t="s">
        <v>412</v>
      </c>
      <c r="F9" s="204" t="s">
        <v>604</v>
      </c>
      <c r="G9" s="204" t="s">
        <v>516</v>
      </c>
      <c r="H9" s="204" t="s">
        <v>588</v>
      </c>
      <c r="I9" s="209" t="s">
        <v>412</v>
      </c>
    </row>
    <row r="10" spans="1:9" ht="13" x14ac:dyDescent="0.15">
      <c r="A10" s="206" t="s">
        <v>749</v>
      </c>
      <c r="B10" s="205">
        <v>75</v>
      </c>
      <c r="C10" s="204" t="s">
        <v>395</v>
      </c>
      <c r="D10" s="205" t="s">
        <v>585</v>
      </c>
      <c r="E10" s="205" t="s">
        <v>412</v>
      </c>
      <c r="F10" s="204"/>
      <c r="G10" s="204" t="s">
        <v>750</v>
      </c>
      <c r="H10" s="204" t="s">
        <v>588</v>
      </c>
      <c r="I10" s="209" t="s">
        <v>1124</v>
      </c>
    </row>
    <row r="11" spans="1:9" ht="26" x14ac:dyDescent="0.15">
      <c r="A11" s="206" t="s">
        <v>936</v>
      </c>
      <c r="B11" s="205">
        <v>75</v>
      </c>
      <c r="C11" s="204" t="s">
        <v>395</v>
      </c>
      <c r="D11" s="205"/>
      <c r="E11" s="205" t="s">
        <v>399</v>
      </c>
      <c r="F11" s="204" t="s">
        <v>658</v>
      </c>
      <c r="G11" s="204" t="s">
        <v>937</v>
      </c>
      <c r="H11" s="204" t="s">
        <v>588</v>
      </c>
      <c r="I11" s="209" t="s">
        <v>1125</v>
      </c>
    </row>
    <row r="12" spans="1:9" ht="13" x14ac:dyDescent="0.15">
      <c r="A12" s="206" t="s">
        <v>102</v>
      </c>
      <c r="B12" s="205">
        <v>75</v>
      </c>
      <c r="C12" s="204" t="s">
        <v>395</v>
      </c>
      <c r="D12" s="205" t="s">
        <v>585</v>
      </c>
      <c r="E12" s="205" t="s">
        <v>399</v>
      </c>
      <c r="F12" s="204" t="s">
        <v>635</v>
      </c>
      <c r="G12" s="204" t="s">
        <v>739</v>
      </c>
      <c r="H12" s="204" t="s">
        <v>588</v>
      </c>
      <c r="I12" s="209" t="s">
        <v>1126</v>
      </c>
    </row>
    <row r="13" spans="1:9" ht="26" x14ac:dyDescent="0.15">
      <c r="A13" s="206" t="s">
        <v>892</v>
      </c>
      <c r="B13" s="205">
        <v>60</v>
      </c>
      <c r="C13" s="204" t="s">
        <v>395</v>
      </c>
      <c r="D13" s="205">
        <v>2017</v>
      </c>
      <c r="E13" s="205" t="s">
        <v>399</v>
      </c>
      <c r="F13" s="204" t="s">
        <v>893</v>
      </c>
      <c r="G13" s="204" t="s">
        <v>668</v>
      </c>
      <c r="H13" s="204" t="s">
        <v>588</v>
      </c>
      <c r="I13" s="209" t="s">
        <v>412</v>
      </c>
    </row>
    <row r="14" spans="1:9" ht="26" x14ac:dyDescent="0.15">
      <c r="A14" s="206" t="s">
        <v>773</v>
      </c>
      <c r="B14" s="205">
        <v>57</v>
      </c>
      <c r="C14" s="204" t="s">
        <v>386</v>
      </c>
      <c r="D14" s="205" t="s">
        <v>585</v>
      </c>
      <c r="E14" s="205" t="s">
        <v>770</v>
      </c>
      <c r="F14" s="204" t="s">
        <v>771</v>
      </c>
      <c r="G14" s="204" t="s">
        <v>772</v>
      </c>
      <c r="H14" s="204" t="s">
        <v>588</v>
      </c>
      <c r="I14" s="209" t="s">
        <v>1376</v>
      </c>
    </row>
    <row r="15" spans="1:9" ht="13" x14ac:dyDescent="0.15">
      <c r="A15" s="206" t="s">
        <v>685</v>
      </c>
      <c r="B15" s="205">
        <v>55</v>
      </c>
      <c r="C15" s="204" t="s">
        <v>395</v>
      </c>
      <c r="D15" s="205"/>
      <c r="E15" s="205" t="s">
        <v>399</v>
      </c>
      <c r="F15" s="204" t="s">
        <v>683</v>
      </c>
      <c r="G15" s="204" t="s">
        <v>684</v>
      </c>
      <c r="H15" s="204" t="s">
        <v>588</v>
      </c>
      <c r="I15" s="209" t="s">
        <v>412</v>
      </c>
    </row>
    <row r="16" spans="1:9" ht="13" x14ac:dyDescent="0.15">
      <c r="A16" s="206" t="s">
        <v>28</v>
      </c>
      <c r="B16" s="205">
        <v>53</v>
      </c>
      <c r="C16" s="204" t="s">
        <v>591</v>
      </c>
      <c r="D16" s="205" t="s">
        <v>585</v>
      </c>
      <c r="E16" s="205" t="s">
        <v>412</v>
      </c>
      <c r="F16" s="204" t="s">
        <v>636</v>
      </c>
      <c r="G16" s="204" t="s">
        <v>637</v>
      </c>
      <c r="H16" s="204" t="s">
        <v>588</v>
      </c>
      <c r="I16" s="209" t="s">
        <v>412</v>
      </c>
    </row>
    <row r="17" spans="1:9" ht="13" x14ac:dyDescent="0.15">
      <c r="A17" s="206" t="s">
        <v>682</v>
      </c>
      <c r="B17" s="205">
        <v>50</v>
      </c>
      <c r="C17" s="204" t="s">
        <v>395</v>
      </c>
      <c r="D17" s="205" t="s">
        <v>585</v>
      </c>
      <c r="E17" s="205" t="s">
        <v>399</v>
      </c>
      <c r="F17" s="204" t="s">
        <v>683</v>
      </c>
      <c r="G17" s="204" t="s">
        <v>684</v>
      </c>
      <c r="H17" s="204" t="s">
        <v>588</v>
      </c>
      <c r="I17" s="209" t="s">
        <v>412</v>
      </c>
    </row>
    <row r="18" spans="1:9" ht="26" x14ac:dyDescent="0.15">
      <c r="A18" s="206" t="s">
        <v>584</v>
      </c>
      <c r="B18" s="205">
        <v>45</v>
      </c>
      <c r="C18" s="204" t="s">
        <v>385</v>
      </c>
      <c r="D18" s="205" t="s">
        <v>585</v>
      </c>
      <c r="E18" s="205" t="s">
        <v>412</v>
      </c>
      <c r="F18" s="204" t="s">
        <v>586</v>
      </c>
      <c r="G18" s="204" t="s">
        <v>587</v>
      </c>
      <c r="H18" s="204" t="s">
        <v>588</v>
      </c>
      <c r="I18" s="209" t="s">
        <v>412</v>
      </c>
    </row>
    <row r="19" spans="1:9" ht="26" x14ac:dyDescent="0.15">
      <c r="A19" s="206" t="s">
        <v>85</v>
      </c>
      <c r="B19" s="205">
        <v>45</v>
      </c>
      <c r="C19" s="204" t="s">
        <v>395</v>
      </c>
      <c r="D19" s="205">
        <v>2015</v>
      </c>
      <c r="E19" s="205" t="s">
        <v>390</v>
      </c>
      <c r="F19" s="204" t="s">
        <v>686</v>
      </c>
      <c r="G19" s="204" t="s">
        <v>687</v>
      </c>
      <c r="H19" s="204" t="s">
        <v>588</v>
      </c>
      <c r="I19" s="209" t="s">
        <v>457</v>
      </c>
    </row>
    <row r="20" spans="1:9" ht="13" x14ac:dyDescent="0.15">
      <c r="A20" s="206" t="s">
        <v>900</v>
      </c>
      <c r="B20" s="205">
        <v>44</v>
      </c>
      <c r="C20" s="204" t="s">
        <v>385</v>
      </c>
      <c r="D20" s="205" t="s">
        <v>585</v>
      </c>
      <c r="E20" s="205" t="s">
        <v>412</v>
      </c>
      <c r="F20" s="204" t="s">
        <v>901</v>
      </c>
      <c r="G20" s="204" t="s">
        <v>587</v>
      </c>
      <c r="H20" s="204" t="s">
        <v>588</v>
      </c>
      <c r="I20" s="209" t="s">
        <v>412</v>
      </c>
    </row>
    <row r="21" spans="1:9" ht="26" x14ac:dyDescent="0.15">
      <c r="A21" s="206" t="s">
        <v>135</v>
      </c>
      <c r="B21" s="205">
        <v>44</v>
      </c>
      <c r="C21" s="204" t="s">
        <v>395</v>
      </c>
      <c r="D21" s="205">
        <v>2014</v>
      </c>
      <c r="E21" s="205" t="s">
        <v>390</v>
      </c>
      <c r="F21" s="204" t="s">
        <v>686</v>
      </c>
      <c r="G21" s="204" t="s">
        <v>684</v>
      </c>
      <c r="H21" s="204" t="s">
        <v>588</v>
      </c>
      <c r="I21" s="209" t="s">
        <v>457</v>
      </c>
    </row>
    <row r="22" spans="1:9" ht="13" x14ac:dyDescent="0.15">
      <c r="A22" s="206" t="s">
        <v>679</v>
      </c>
      <c r="B22" s="205">
        <v>43</v>
      </c>
      <c r="C22" s="204" t="s">
        <v>395</v>
      </c>
      <c r="D22" s="205" t="s">
        <v>585</v>
      </c>
      <c r="E22" s="205" t="s">
        <v>412</v>
      </c>
      <c r="F22" s="204" t="s">
        <v>680</v>
      </c>
      <c r="G22" s="204" t="s">
        <v>681</v>
      </c>
      <c r="H22" s="204" t="s">
        <v>588</v>
      </c>
      <c r="I22" s="209" t="s">
        <v>1377</v>
      </c>
    </row>
    <row r="23" spans="1:9" ht="13" x14ac:dyDescent="0.15">
      <c r="A23" s="206" t="s">
        <v>666</v>
      </c>
      <c r="B23" s="205">
        <v>42</v>
      </c>
      <c r="C23" s="204" t="s">
        <v>395</v>
      </c>
      <c r="D23" s="205"/>
      <c r="E23" s="205" t="s">
        <v>399</v>
      </c>
      <c r="F23" s="204" t="s">
        <v>667</v>
      </c>
      <c r="G23" s="204" t="s">
        <v>668</v>
      </c>
      <c r="H23" s="204" t="s">
        <v>588</v>
      </c>
      <c r="I23" s="209" t="s">
        <v>457</v>
      </c>
    </row>
    <row r="24" spans="1:9" ht="26" x14ac:dyDescent="0.15">
      <c r="A24" s="206" t="s">
        <v>691</v>
      </c>
      <c r="B24" s="205">
        <v>40</v>
      </c>
      <c r="C24" s="204" t="s">
        <v>395</v>
      </c>
      <c r="D24" s="205"/>
      <c r="E24" s="205" t="s">
        <v>412</v>
      </c>
      <c r="F24" s="204" t="s">
        <v>689</v>
      </c>
      <c r="G24" s="204" t="s">
        <v>690</v>
      </c>
      <c r="H24" s="204" t="s">
        <v>588</v>
      </c>
      <c r="I24" s="209" t="s">
        <v>457</v>
      </c>
    </row>
    <row r="25" spans="1:9" ht="26" x14ac:dyDescent="0.15">
      <c r="A25" s="206" t="s">
        <v>769</v>
      </c>
      <c r="B25" s="205">
        <v>40</v>
      </c>
      <c r="C25" s="204" t="s">
        <v>386</v>
      </c>
      <c r="D25" s="205" t="s">
        <v>585</v>
      </c>
      <c r="E25" s="205" t="s">
        <v>770</v>
      </c>
      <c r="F25" s="204" t="s">
        <v>771</v>
      </c>
      <c r="G25" s="204" t="s">
        <v>772</v>
      </c>
      <c r="H25" s="204" t="s">
        <v>588</v>
      </c>
      <c r="I25" s="209" t="s">
        <v>1376</v>
      </c>
    </row>
    <row r="26" spans="1:9" ht="13" x14ac:dyDescent="0.15">
      <c r="A26" s="206" t="s">
        <v>121</v>
      </c>
      <c r="B26" s="205">
        <v>39</v>
      </c>
      <c r="C26" s="204" t="s">
        <v>386</v>
      </c>
      <c r="D26" s="205" t="s">
        <v>585</v>
      </c>
      <c r="E26" s="205" t="s">
        <v>412</v>
      </c>
      <c r="F26" s="204" t="s">
        <v>631</v>
      </c>
      <c r="G26" s="204" t="s">
        <v>656</v>
      </c>
      <c r="H26" s="204" t="s">
        <v>588</v>
      </c>
      <c r="I26" s="209" t="s">
        <v>457</v>
      </c>
    </row>
    <row r="27" spans="1:9" ht="13" x14ac:dyDescent="0.15">
      <c r="A27" s="206" t="s">
        <v>902</v>
      </c>
      <c r="B27" s="205">
        <v>38</v>
      </c>
      <c r="C27" s="204" t="s">
        <v>385</v>
      </c>
      <c r="D27" s="205" t="s">
        <v>585</v>
      </c>
      <c r="E27" s="205" t="s">
        <v>412</v>
      </c>
      <c r="F27" s="204" t="s">
        <v>901</v>
      </c>
      <c r="G27" s="204" t="s">
        <v>587</v>
      </c>
      <c r="H27" s="204" t="s">
        <v>588</v>
      </c>
      <c r="I27" s="209" t="s">
        <v>412</v>
      </c>
    </row>
    <row r="28" spans="1:9" ht="26" x14ac:dyDescent="0.15">
      <c r="A28" s="206" t="s">
        <v>692</v>
      </c>
      <c r="B28" s="205">
        <v>35</v>
      </c>
      <c r="C28" s="204" t="s">
        <v>395</v>
      </c>
      <c r="D28" s="205"/>
      <c r="E28" s="205" t="s">
        <v>412</v>
      </c>
      <c r="F28" s="204" t="s">
        <v>689</v>
      </c>
      <c r="G28" s="204" t="s">
        <v>690</v>
      </c>
      <c r="H28" s="204" t="s">
        <v>588</v>
      </c>
      <c r="I28" s="209" t="s">
        <v>457</v>
      </c>
    </row>
    <row r="29" spans="1:9" ht="13.5" customHeight="1" x14ac:dyDescent="0.15">
      <c r="A29" s="206" t="s">
        <v>838</v>
      </c>
      <c r="B29" s="205">
        <v>33</v>
      </c>
      <c r="C29" s="204" t="s">
        <v>385</v>
      </c>
      <c r="D29" s="205" t="s">
        <v>585</v>
      </c>
      <c r="E29" s="205" t="s">
        <v>412</v>
      </c>
      <c r="F29" s="204" t="s">
        <v>839</v>
      </c>
      <c r="G29" s="204" t="s">
        <v>668</v>
      </c>
      <c r="H29" s="204" t="s">
        <v>588</v>
      </c>
      <c r="I29" s="209" t="s">
        <v>457</v>
      </c>
    </row>
    <row r="30" spans="1:9" ht="13.5" customHeight="1" x14ac:dyDescent="0.15">
      <c r="A30" s="206" t="s">
        <v>845</v>
      </c>
      <c r="B30" s="205">
        <v>32</v>
      </c>
      <c r="C30" s="204" t="s">
        <v>395</v>
      </c>
      <c r="D30" s="205" t="s">
        <v>585</v>
      </c>
      <c r="E30" s="205" t="s">
        <v>412</v>
      </c>
      <c r="F30" s="204" t="s">
        <v>677</v>
      </c>
      <c r="G30" s="204" t="s">
        <v>846</v>
      </c>
      <c r="H30" s="204" t="s">
        <v>588</v>
      </c>
      <c r="I30" s="209" t="s">
        <v>457</v>
      </c>
    </row>
    <row r="31" spans="1:9" ht="13" x14ac:dyDescent="0.15">
      <c r="A31" s="206" t="s">
        <v>47</v>
      </c>
      <c r="B31" s="205">
        <v>31</v>
      </c>
      <c r="C31" s="204" t="s">
        <v>395</v>
      </c>
      <c r="D31" s="205">
        <v>2016</v>
      </c>
      <c r="E31" s="205" t="s">
        <v>412</v>
      </c>
      <c r="F31" s="204" t="s">
        <v>589</v>
      </c>
      <c r="G31" s="204" t="s">
        <v>777</v>
      </c>
      <c r="H31" s="204" t="s">
        <v>588</v>
      </c>
      <c r="I31" s="209" t="s">
        <v>457</v>
      </c>
    </row>
    <row r="32" spans="1:9" ht="26" x14ac:dyDescent="0.15">
      <c r="A32" s="206" t="s">
        <v>869</v>
      </c>
      <c r="B32" s="205">
        <v>30</v>
      </c>
      <c r="C32" s="204" t="s">
        <v>591</v>
      </c>
      <c r="D32" s="205"/>
      <c r="E32" s="205" t="s">
        <v>399</v>
      </c>
      <c r="F32" s="204" t="s">
        <v>870</v>
      </c>
      <c r="G32" s="204" t="s">
        <v>871</v>
      </c>
      <c r="H32" s="204" t="s">
        <v>588</v>
      </c>
      <c r="I32" s="209" t="s">
        <v>1376</v>
      </c>
    </row>
    <row r="33" spans="1:9" ht="13" x14ac:dyDescent="0.15">
      <c r="A33" s="206" t="s">
        <v>942</v>
      </c>
      <c r="B33" s="205">
        <v>29</v>
      </c>
      <c r="C33" s="204" t="s">
        <v>395</v>
      </c>
      <c r="D33" s="205" t="s">
        <v>585</v>
      </c>
      <c r="E33" s="205" t="s">
        <v>412</v>
      </c>
      <c r="F33" s="204" t="s">
        <v>604</v>
      </c>
      <c r="G33" s="204" t="s">
        <v>943</v>
      </c>
      <c r="H33" s="204" t="s">
        <v>588</v>
      </c>
      <c r="I33" s="209" t="s">
        <v>457</v>
      </c>
    </row>
    <row r="34" spans="1:9" ht="26" x14ac:dyDescent="0.15">
      <c r="A34" s="206" t="s">
        <v>744</v>
      </c>
      <c r="B34" s="205">
        <v>26</v>
      </c>
      <c r="C34" s="204" t="s">
        <v>395</v>
      </c>
      <c r="D34" s="205" t="s">
        <v>585</v>
      </c>
      <c r="E34" s="205" t="s">
        <v>390</v>
      </c>
      <c r="F34" s="204" t="s">
        <v>683</v>
      </c>
      <c r="G34" s="204" t="s">
        <v>742</v>
      </c>
      <c r="H34" s="204" t="s">
        <v>588</v>
      </c>
      <c r="I34" s="209" t="s">
        <v>457</v>
      </c>
    </row>
    <row r="35" spans="1:9" ht="26" x14ac:dyDescent="0.15">
      <c r="A35" s="206" t="s">
        <v>688</v>
      </c>
      <c r="B35" s="205">
        <v>25</v>
      </c>
      <c r="C35" s="204" t="s">
        <v>395</v>
      </c>
      <c r="D35" s="205"/>
      <c r="E35" s="205" t="s">
        <v>412</v>
      </c>
      <c r="F35" s="204" t="s">
        <v>689</v>
      </c>
      <c r="G35" s="204" t="s">
        <v>690</v>
      </c>
      <c r="H35" s="204" t="s">
        <v>588</v>
      </c>
      <c r="I35" s="209" t="s">
        <v>457</v>
      </c>
    </row>
    <row r="36" spans="1:9" ht="26" x14ac:dyDescent="0.15">
      <c r="A36" s="206" t="s">
        <v>741</v>
      </c>
      <c r="B36" s="205">
        <v>25</v>
      </c>
      <c r="C36" s="204" t="s">
        <v>395</v>
      </c>
      <c r="D36" s="205"/>
      <c r="E36" s="205" t="s">
        <v>390</v>
      </c>
      <c r="F36" s="204" t="s">
        <v>683</v>
      </c>
      <c r="G36" s="204" t="s">
        <v>742</v>
      </c>
      <c r="H36" s="204" t="s">
        <v>588</v>
      </c>
      <c r="I36" s="209" t="s">
        <v>457</v>
      </c>
    </row>
    <row r="37" spans="1:9" ht="26" x14ac:dyDescent="0.15">
      <c r="A37" s="206" t="s">
        <v>743</v>
      </c>
      <c r="B37" s="205">
        <v>24</v>
      </c>
      <c r="C37" s="204" t="s">
        <v>395</v>
      </c>
      <c r="D37" s="205" t="s">
        <v>585</v>
      </c>
      <c r="E37" s="205" t="s">
        <v>390</v>
      </c>
      <c r="F37" s="204" t="s">
        <v>683</v>
      </c>
      <c r="G37" s="204" t="s">
        <v>742</v>
      </c>
      <c r="H37" s="204" t="s">
        <v>588</v>
      </c>
      <c r="I37" s="209" t="s">
        <v>457</v>
      </c>
    </row>
    <row r="38" spans="1:9" ht="26" x14ac:dyDescent="0.15">
      <c r="A38" s="206" t="s">
        <v>1129</v>
      </c>
      <c r="B38" s="205">
        <v>23</v>
      </c>
      <c r="C38" s="204" t="s">
        <v>395</v>
      </c>
      <c r="D38" s="205" t="s">
        <v>585</v>
      </c>
      <c r="E38" s="205" t="s">
        <v>399</v>
      </c>
      <c r="F38" s="204" t="s">
        <v>761</v>
      </c>
      <c r="G38" s="204" t="s">
        <v>1128</v>
      </c>
      <c r="H38" s="204" t="s">
        <v>588</v>
      </c>
      <c r="I38" s="209" t="s">
        <v>412</v>
      </c>
    </row>
    <row r="39" spans="1:9" ht="26" x14ac:dyDescent="0.15">
      <c r="A39" s="206" t="s">
        <v>693</v>
      </c>
      <c r="B39" s="205">
        <v>20</v>
      </c>
      <c r="C39" s="204" t="s">
        <v>395</v>
      </c>
      <c r="D39" s="205"/>
      <c r="E39" s="205" t="s">
        <v>390</v>
      </c>
      <c r="F39" s="204"/>
      <c r="G39" s="204"/>
      <c r="H39" s="204" t="s">
        <v>588</v>
      </c>
      <c r="I39" s="209" t="s">
        <v>457</v>
      </c>
    </row>
    <row r="40" spans="1:9" ht="26" x14ac:dyDescent="0.15">
      <c r="A40" s="206" t="s">
        <v>745</v>
      </c>
      <c r="B40" s="205">
        <v>20</v>
      </c>
      <c r="C40" s="204" t="s">
        <v>395</v>
      </c>
      <c r="D40" s="205"/>
      <c r="E40" s="205" t="s">
        <v>390</v>
      </c>
      <c r="F40" s="204" t="s">
        <v>683</v>
      </c>
      <c r="G40" s="204" t="s">
        <v>742</v>
      </c>
      <c r="H40" s="204" t="s">
        <v>588</v>
      </c>
      <c r="I40" s="209" t="s">
        <v>457</v>
      </c>
    </row>
    <row r="41" spans="1:9" ht="13" x14ac:dyDescent="0.15">
      <c r="A41" s="211" t="s">
        <v>782</v>
      </c>
      <c r="B41" s="205">
        <v>38</v>
      </c>
      <c r="C41" s="204" t="s">
        <v>395</v>
      </c>
      <c r="D41" s="205" t="s">
        <v>585</v>
      </c>
      <c r="E41" s="205" t="s">
        <v>770</v>
      </c>
      <c r="F41" s="204" t="s">
        <v>783</v>
      </c>
      <c r="G41" s="204" t="s">
        <v>784</v>
      </c>
      <c r="H41" s="204" t="s">
        <v>588</v>
      </c>
      <c r="I41" s="209"/>
    </row>
    <row r="42" spans="1:9" ht="13.5" customHeight="1" x14ac:dyDescent="0.15">
      <c r="A42" s="211" t="s">
        <v>786</v>
      </c>
      <c r="B42" s="205">
        <v>34</v>
      </c>
      <c r="C42" s="204" t="s">
        <v>395</v>
      </c>
      <c r="D42" s="205" t="s">
        <v>585</v>
      </c>
      <c r="E42" s="205" t="s">
        <v>770</v>
      </c>
      <c r="F42" s="204" t="s">
        <v>783</v>
      </c>
      <c r="G42" s="204" t="s">
        <v>784</v>
      </c>
      <c r="H42" s="204" t="s">
        <v>588</v>
      </c>
      <c r="I42" s="209"/>
    </row>
    <row r="43" spans="1:9" ht="13" x14ac:dyDescent="0.15">
      <c r="A43" s="211" t="s">
        <v>785</v>
      </c>
      <c r="B43" s="205">
        <v>21</v>
      </c>
      <c r="C43" s="204" t="s">
        <v>395</v>
      </c>
      <c r="D43" s="205" t="s">
        <v>585</v>
      </c>
      <c r="E43" s="205" t="s">
        <v>770</v>
      </c>
      <c r="F43" s="204" t="s">
        <v>783</v>
      </c>
      <c r="G43" s="204" t="s">
        <v>784</v>
      </c>
      <c r="H43" s="204" t="s">
        <v>588</v>
      </c>
      <c r="I43" s="209"/>
    </row>
    <row r="44" spans="1:9" ht="13" x14ac:dyDescent="0.15">
      <c r="A44" s="204" t="s">
        <v>1017</v>
      </c>
      <c r="B44" s="205">
        <v>36</v>
      </c>
      <c r="C44" s="204" t="s">
        <v>395</v>
      </c>
      <c r="D44" s="205" t="s">
        <v>585</v>
      </c>
      <c r="E44" s="205" t="s">
        <v>399</v>
      </c>
      <c r="F44" s="204" t="s">
        <v>767</v>
      </c>
      <c r="G44" s="204" t="s">
        <v>1018</v>
      </c>
      <c r="H44" s="204" t="s">
        <v>588</v>
      </c>
      <c r="I44" s="209" t="s">
        <v>457</v>
      </c>
    </row>
    <row r="45" spans="1:9" ht="13" x14ac:dyDescent="0.15">
      <c r="A45" s="204" t="s">
        <v>1019</v>
      </c>
      <c r="B45" s="205">
        <v>35</v>
      </c>
      <c r="C45" s="204" t="s">
        <v>395</v>
      </c>
      <c r="D45" s="205" t="s">
        <v>585</v>
      </c>
      <c r="E45" s="205" t="s">
        <v>399</v>
      </c>
      <c r="F45" s="204" t="s">
        <v>767</v>
      </c>
      <c r="G45" s="204" t="s">
        <v>1018</v>
      </c>
      <c r="H45" s="204" t="s">
        <v>588</v>
      </c>
      <c r="I45" s="209" t="s">
        <v>457</v>
      </c>
    </row>
    <row r="46" spans="1:9" ht="13" x14ac:dyDescent="0.15">
      <c r="A46" s="204" t="s">
        <v>925</v>
      </c>
      <c r="B46" s="205">
        <v>32</v>
      </c>
      <c r="C46" s="204" t="s">
        <v>395</v>
      </c>
      <c r="D46" s="205" t="s">
        <v>585</v>
      </c>
      <c r="E46" s="205" t="s">
        <v>770</v>
      </c>
      <c r="F46" s="204" t="s">
        <v>926</v>
      </c>
      <c r="G46" s="204" t="s">
        <v>927</v>
      </c>
      <c r="H46" s="204" t="s">
        <v>588</v>
      </c>
      <c r="I46" s="209" t="s">
        <v>11</v>
      </c>
    </row>
    <row r="47" spans="1:9" ht="26" x14ac:dyDescent="0.15">
      <c r="A47" s="204" t="s">
        <v>675</v>
      </c>
      <c r="B47" s="205">
        <v>25</v>
      </c>
      <c r="C47" s="204" t="s">
        <v>395</v>
      </c>
      <c r="D47" s="205"/>
      <c r="E47" s="205" t="s">
        <v>390</v>
      </c>
      <c r="F47" s="204" t="s">
        <v>670</v>
      </c>
      <c r="G47" s="204" t="s">
        <v>673</v>
      </c>
      <c r="H47" s="204" t="s">
        <v>588</v>
      </c>
      <c r="I47" s="209"/>
    </row>
    <row r="48" spans="1:9" ht="26" x14ac:dyDescent="0.15">
      <c r="A48" s="204" t="s">
        <v>676</v>
      </c>
      <c r="B48" s="205">
        <v>25</v>
      </c>
      <c r="C48" s="204" t="s">
        <v>395</v>
      </c>
      <c r="D48" s="205" t="s">
        <v>585</v>
      </c>
      <c r="E48" s="205" t="s">
        <v>390</v>
      </c>
      <c r="F48" s="204" t="s">
        <v>677</v>
      </c>
      <c r="G48" s="204" t="s">
        <v>678</v>
      </c>
      <c r="H48" s="204" t="s">
        <v>588</v>
      </c>
      <c r="I48" s="209"/>
    </row>
    <row r="49" spans="1:9" ht="26" x14ac:dyDescent="0.15">
      <c r="A49" s="204" t="s">
        <v>674</v>
      </c>
      <c r="B49" s="205">
        <v>24</v>
      </c>
      <c r="C49" s="204" t="s">
        <v>395</v>
      </c>
      <c r="D49" s="205"/>
      <c r="E49" s="205" t="s">
        <v>390</v>
      </c>
      <c r="F49" s="204" t="s">
        <v>670</v>
      </c>
      <c r="G49" s="204" t="s">
        <v>673</v>
      </c>
      <c r="H49" s="204" t="s">
        <v>588</v>
      </c>
      <c r="I49" s="209"/>
    </row>
    <row r="50" spans="1:9" ht="26" x14ac:dyDescent="0.15">
      <c r="A50" s="204" t="s">
        <v>905</v>
      </c>
      <c r="B50" s="205">
        <v>23</v>
      </c>
      <c r="C50" s="204" t="s">
        <v>385</v>
      </c>
      <c r="D50" s="205">
        <v>2014</v>
      </c>
      <c r="E50" s="205" t="s">
        <v>390</v>
      </c>
      <c r="F50" s="204" t="s">
        <v>906</v>
      </c>
      <c r="G50" s="204" t="s">
        <v>907</v>
      </c>
      <c r="H50" s="204" t="s">
        <v>588</v>
      </c>
      <c r="I50" s="209"/>
    </row>
    <row r="51" spans="1:9" ht="13" x14ac:dyDescent="0.15">
      <c r="A51" s="204" t="s">
        <v>983</v>
      </c>
      <c r="B51" s="205">
        <v>23</v>
      </c>
      <c r="C51" s="204" t="s">
        <v>395</v>
      </c>
      <c r="D51" s="205" t="s">
        <v>585</v>
      </c>
      <c r="E51" s="205" t="s">
        <v>412</v>
      </c>
      <c r="F51" s="204" t="s">
        <v>984</v>
      </c>
      <c r="G51" s="204" t="s">
        <v>985</v>
      </c>
      <c r="H51" s="204" t="s">
        <v>588</v>
      </c>
      <c r="I51" s="209"/>
    </row>
    <row r="52" spans="1:9" ht="26" x14ac:dyDescent="0.15">
      <c r="A52" s="204" t="s">
        <v>728</v>
      </c>
      <c r="B52" s="205">
        <v>22</v>
      </c>
      <c r="C52" s="204" t="s">
        <v>395</v>
      </c>
      <c r="D52" s="205" t="s">
        <v>585</v>
      </c>
      <c r="E52" s="205" t="s">
        <v>412</v>
      </c>
      <c r="F52" s="204" t="s">
        <v>729</v>
      </c>
      <c r="G52" s="204" t="s">
        <v>684</v>
      </c>
      <c r="H52" s="204" t="s">
        <v>588</v>
      </c>
      <c r="I52" s="209"/>
    </row>
    <row r="53" spans="1:9" ht="26" x14ac:dyDescent="0.15">
      <c r="A53" s="204" t="s">
        <v>928</v>
      </c>
      <c r="B53" s="205">
        <v>22</v>
      </c>
      <c r="C53" s="204" t="s">
        <v>395</v>
      </c>
      <c r="D53" s="205">
        <v>2019</v>
      </c>
      <c r="E53" s="205" t="s">
        <v>412</v>
      </c>
      <c r="F53" s="204" t="s">
        <v>929</v>
      </c>
      <c r="G53" s="204" t="s">
        <v>930</v>
      </c>
      <c r="H53" s="204" t="s">
        <v>588</v>
      </c>
      <c r="I53" s="209"/>
    </row>
    <row r="54" spans="1:9" ht="26" x14ac:dyDescent="0.15">
      <c r="A54" s="204" t="s">
        <v>672</v>
      </c>
      <c r="B54" s="205">
        <v>21</v>
      </c>
      <c r="C54" s="204" t="s">
        <v>395</v>
      </c>
      <c r="D54" s="205" t="s">
        <v>585</v>
      </c>
      <c r="E54" s="205" t="s">
        <v>390</v>
      </c>
      <c r="F54" s="204" t="s">
        <v>670</v>
      </c>
      <c r="G54" s="204" t="s">
        <v>673</v>
      </c>
      <c r="H54" s="204" t="s">
        <v>588</v>
      </c>
      <c r="I54" s="209"/>
    </row>
    <row r="55" spans="1:9" ht="26" x14ac:dyDescent="0.15">
      <c r="A55" s="204" t="s">
        <v>694</v>
      </c>
      <c r="B55" s="205">
        <v>21</v>
      </c>
      <c r="C55" s="204" t="s">
        <v>395</v>
      </c>
      <c r="D55" s="205"/>
      <c r="E55" s="205" t="s">
        <v>412</v>
      </c>
      <c r="F55" s="204" t="s">
        <v>695</v>
      </c>
      <c r="G55" s="204" t="s">
        <v>696</v>
      </c>
      <c r="H55" s="204" t="s">
        <v>588</v>
      </c>
      <c r="I55" s="209"/>
    </row>
    <row r="56" spans="1:9" ht="26" x14ac:dyDescent="0.15">
      <c r="A56" s="204" t="s">
        <v>815</v>
      </c>
      <c r="B56" s="205">
        <v>21</v>
      </c>
      <c r="C56" s="204" t="s">
        <v>395</v>
      </c>
      <c r="D56" s="205">
        <v>2019</v>
      </c>
      <c r="E56" s="205" t="s">
        <v>390</v>
      </c>
      <c r="F56" s="204" t="s">
        <v>779</v>
      </c>
      <c r="G56" s="204" t="s">
        <v>816</v>
      </c>
      <c r="H56" s="204" t="s">
        <v>588</v>
      </c>
      <c r="I56" s="209"/>
    </row>
    <row r="57" spans="1:9" ht="13" x14ac:dyDescent="0.15">
      <c r="A57" s="204" t="s">
        <v>1051</v>
      </c>
      <c r="B57" s="205">
        <v>20</v>
      </c>
      <c r="C57" s="204" t="s">
        <v>395</v>
      </c>
      <c r="D57" s="205" t="s">
        <v>585</v>
      </c>
      <c r="E57" s="205" t="s">
        <v>412</v>
      </c>
      <c r="F57" s="204" t="s">
        <v>858</v>
      </c>
      <c r="G57" s="204" t="s">
        <v>1052</v>
      </c>
      <c r="H57" s="204" t="s">
        <v>588</v>
      </c>
      <c r="I57" s="209"/>
    </row>
    <row r="58" spans="1:9" ht="26" x14ac:dyDescent="0.15">
      <c r="A58" s="204" t="s">
        <v>805</v>
      </c>
      <c r="B58" s="205">
        <v>22</v>
      </c>
      <c r="C58" s="204" t="s">
        <v>395</v>
      </c>
      <c r="D58" s="205" t="s">
        <v>585</v>
      </c>
      <c r="E58" s="205" t="s">
        <v>412</v>
      </c>
      <c r="F58" s="204" t="s">
        <v>806</v>
      </c>
      <c r="G58" s="204" t="s">
        <v>807</v>
      </c>
      <c r="H58" s="204" t="s">
        <v>808</v>
      </c>
      <c r="I58" s="209"/>
    </row>
    <row r="59" spans="1:9" ht="26" x14ac:dyDescent="0.15">
      <c r="A59" s="204" t="s">
        <v>1023</v>
      </c>
      <c r="B59" s="205">
        <v>22</v>
      </c>
      <c r="C59" s="204" t="s">
        <v>386</v>
      </c>
      <c r="D59" s="205" t="s">
        <v>585</v>
      </c>
      <c r="E59" s="205" t="s">
        <v>412</v>
      </c>
      <c r="F59" s="204" t="s">
        <v>870</v>
      </c>
      <c r="G59" s="204" t="s">
        <v>1024</v>
      </c>
      <c r="H59" s="204" t="s">
        <v>808</v>
      </c>
      <c r="I59" s="209"/>
    </row>
    <row r="60" spans="1:9" ht="13.5" customHeight="1" x14ac:dyDescent="0.15">
      <c r="A60" s="204" t="s">
        <v>1039</v>
      </c>
      <c r="B60" s="205">
        <v>23</v>
      </c>
      <c r="C60" s="204" t="s">
        <v>395</v>
      </c>
      <c r="D60" s="205" t="s">
        <v>585</v>
      </c>
      <c r="E60" s="205" t="s">
        <v>412</v>
      </c>
      <c r="F60" s="204" t="s">
        <v>858</v>
      </c>
      <c r="G60" s="204" t="s">
        <v>1040</v>
      </c>
      <c r="H60" s="204" t="s">
        <v>808</v>
      </c>
      <c r="I60" s="209"/>
    </row>
    <row r="61" spans="1:9" ht="13" x14ac:dyDescent="0.15">
      <c r="A61" s="204" t="s">
        <v>697</v>
      </c>
      <c r="B61" s="205">
        <v>25</v>
      </c>
      <c r="C61" s="204" t="s">
        <v>698</v>
      </c>
      <c r="D61" s="205"/>
      <c r="E61" s="205" t="s">
        <v>412</v>
      </c>
      <c r="F61" s="204" t="s">
        <v>670</v>
      </c>
      <c r="G61" s="204" t="s">
        <v>699</v>
      </c>
      <c r="H61" s="204" t="s">
        <v>700</v>
      </c>
      <c r="I61" s="209"/>
    </row>
    <row r="62" spans="1:9" ht="13" x14ac:dyDescent="0.15">
      <c r="A62" s="204" t="s">
        <v>701</v>
      </c>
      <c r="B62" s="205">
        <v>21</v>
      </c>
      <c r="C62" s="204" t="s">
        <v>395</v>
      </c>
      <c r="D62" s="205"/>
      <c r="E62" s="205" t="s">
        <v>412</v>
      </c>
      <c r="F62" s="204" t="s">
        <v>670</v>
      </c>
      <c r="G62" s="204" t="s">
        <v>699</v>
      </c>
      <c r="H62" s="204" t="s">
        <v>700</v>
      </c>
      <c r="I62" s="209"/>
    </row>
    <row r="63" spans="1:9" ht="13" x14ac:dyDescent="0.15">
      <c r="A63" s="204" t="s">
        <v>702</v>
      </c>
      <c r="B63" s="205">
        <v>21</v>
      </c>
      <c r="C63" s="204" t="s">
        <v>395</v>
      </c>
      <c r="D63" s="205"/>
      <c r="E63" s="205" t="s">
        <v>412</v>
      </c>
      <c r="F63" s="204" t="s">
        <v>670</v>
      </c>
      <c r="G63" s="204" t="s">
        <v>699</v>
      </c>
      <c r="H63" s="204" t="s">
        <v>700</v>
      </c>
      <c r="I63" s="209"/>
    </row>
    <row r="64" spans="1:9" ht="13" x14ac:dyDescent="0.15">
      <c r="A64" s="204" t="s">
        <v>703</v>
      </c>
      <c r="B64" s="205">
        <v>21</v>
      </c>
      <c r="C64" s="204" t="s">
        <v>395</v>
      </c>
      <c r="D64" s="205"/>
      <c r="E64" s="205" t="s">
        <v>412</v>
      </c>
      <c r="F64" s="204" t="s">
        <v>670</v>
      </c>
      <c r="G64" s="204" t="s">
        <v>699</v>
      </c>
      <c r="H64" s="204" t="s">
        <v>700</v>
      </c>
      <c r="I64" s="209"/>
    </row>
    <row r="65" spans="1:9" ht="13" x14ac:dyDescent="0.15">
      <c r="A65" s="204" t="s">
        <v>704</v>
      </c>
      <c r="B65" s="205">
        <v>21</v>
      </c>
      <c r="C65" s="204" t="s">
        <v>395</v>
      </c>
      <c r="D65" s="205"/>
      <c r="E65" s="205" t="s">
        <v>412</v>
      </c>
      <c r="F65" s="204" t="s">
        <v>670</v>
      </c>
      <c r="G65" s="204" t="s">
        <v>699</v>
      </c>
      <c r="H65" s="204" t="s">
        <v>700</v>
      </c>
      <c r="I65" s="209"/>
    </row>
    <row r="66" spans="1:9" ht="13.5" customHeight="1" x14ac:dyDescent="0.15">
      <c r="A66" s="204" t="s">
        <v>705</v>
      </c>
      <c r="B66" s="205">
        <v>21</v>
      </c>
      <c r="C66" s="204" t="s">
        <v>395</v>
      </c>
      <c r="D66" s="205"/>
      <c r="E66" s="205" t="s">
        <v>412</v>
      </c>
      <c r="F66" s="204" t="s">
        <v>670</v>
      </c>
      <c r="G66" s="204" t="s">
        <v>699</v>
      </c>
      <c r="H66" s="204" t="s">
        <v>700</v>
      </c>
      <c r="I66" s="209"/>
    </row>
    <row r="67" spans="1:9" ht="13" x14ac:dyDescent="0.15">
      <c r="A67" s="204" t="s">
        <v>706</v>
      </c>
      <c r="B67" s="205">
        <v>21</v>
      </c>
      <c r="C67" s="204" t="s">
        <v>395</v>
      </c>
      <c r="D67" s="205"/>
      <c r="E67" s="205" t="s">
        <v>412</v>
      </c>
      <c r="F67" s="204" t="s">
        <v>670</v>
      </c>
      <c r="G67" s="204" t="s">
        <v>699</v>
      </c>
      <c r="H67" s="204" t="s">
        <v>700</v>
      </c>
      <c r="I67" s="209"/>
    </row>
    <row r="68" spans="1:9" ht="13" x14ac:dyDescent="0.15">
      <c r="A68" s="204" t="s">
        <v>707</v>
      </c>
      <c r="B68" s="205">
        <v>21</v>
      </c>
      <c r="C68" s="204" t="s">
        <v>395</v>
      </c>
      <c r="D68" s="205"/>
      <c r="E68" s="205" t="s">
        <v>412</v>
      </c>
      <c r="F68" s="204" t="s">
        <v>670</v>
      </c>
      <c r="G68" s="204" t="s">
        <v>699</v>
      </c>
      <c r="H68" s="204" t="s">
        <v>700</v>
      </c>
      <c r="I68" s="209"/>
    </row>
    <row r="69" spans="1:9" ht="13" x14ac:dyDescent="0.15">
      <c r="A69" s="204" t="s">
        <v>708</v>
      </c>
      <c r="B69" s="205">
        <v>21</v>
      </c>
      <c r="C69" s="204" t="s">
        <v>395</v>
      </c>
      <c r="D69" s="205"/>
      <c r="E69" s="205" t="s">
        <v>412</v>
      </c>
      <c r="F69" s="204" t="s">
        <v>670</v>
      </c>
      <c r="G69" s="204" t="s">
        <v>699</v>
      </c>
      <c r="H69" s="204" t="s">
        <v>700</v>
      </c>
      <c r="I69" s="209"/>
    </row>
    <row r="70" spans="1:9" ht="13.5" customHeight="1" x14ac:dyDescent="0.15">
      <c r="A70" s="204" t="s">
        <v>787</v>
      </c>
      <c r="B70" s="205">
        <v>21</v>
      </c>
      <c r="C70" s="204" t="s">
        <v>395</v>
      </c>
      <c r="D70" s="205"/>
      <c r="E70" s="205" t="s">
        <v>412</v>
      </c>
      <c r="F70" s="204" t="s">
        <v>670</v>
      </c>
      <c r="G70" s="204" t="s">
        <v>699</v>
      </c>
      <c r="H70" s="204" t="s">
        <v>700</v>
      </c>
      <c r="I70" s="209"/>
    </row>
    <row r="71" spans="1:9" ht="13" x14ac:dyDescent="0.15">
      <c r="A71" s="204" t="s">
        <v>788</v>
      </c>
      <c r="B71" s="205">
        <v>21</v>
      </c>
      <c r="C71" s="204" t="s">
        <v>395</v>
      </c>
      <c r="D71" s="205"/>
      <c r="E71" s="205" t="s">
        <v>412</v>
      </c>
      <c r="F71" s="204" t="s">
        <v>670</v>
      </c>
      <c r="G71" s="204" t="s">
        <v>699</v>
      </c>
      <c r="H71" s="204" t="s">
        <v>700</v>
      </c>
      <c r="I71" s="209"/>
    </row>
    <row r="72" spans="1:9" ht="13" x14ac:dyDescent="0.15">
      <c r="A72" s="204" t="s">
        <v>789</v>
      </c>
      <c r="B72" s="205">
        <v>21</v>
      </c>
      <c r="C72" s="204" t="s">
        <v>395</v>
      </c>
      <c r="D72" s="205"/>
      <c r="E72" s="205" t="s">
        <v>412</v>
      </c>
      <c r="F72" s="204" t="s">
        <v>670</v>
      </c>
      <c r="G72" s="204" t="s">
        <v>699</v>
      </c>
      <c r="H72" s="204" t="s">
        <v>700</v>
      </c>
      <c r="I72" s="209"/>
    </row>
    <row r="73" spans="1:9" ht="13" x14ac:dyDescent="0.15">
      <c r="A73" s="204" t="s">
        <v>790</v>
      </c>
      <c r="B73" s="205">
        <v>21</v>
      </c>
      <c r="C73" s="204" t="s">
        <v>395</v>
      </c>
      <c r="D73" s="205"/>
      <c r="E73" s="205" t="s">
        <v>412</v>
      </c>
      <c r="F73" s="204" t="s">
        <v>670</v>
      </c>
      <c r="G73" s="204" t="s">
        <v>699</v>
      </c>
      <c r="H73" s="204" t="s">
        <v>700</v>
      </c>
      <c r="I73" s="209"/>
    </row>
    <row r="74" spans="1:9" ht="13" x14ac:dyDescent="0.15">
      <c r="A74" s="204" t="s">
        <v>791</v>
      </c>
      <c r="B74" s="205">
        <v>21</v>
      </c>
      <c r="C74" s="204" t="s">
        <v>395</v>
      </c>
      <c r="D74" s="205"/>
      <c r="E74" s="205" t="s">
        <v>412</v>
      </c>
      <c r="F74" s="204" t="s">
        <v>670</v>
      </c>
      <c r="G74" s="204" t="s">
        <v>699</v>
      </c>
      <c r="H74" s="204" t="s">
        <v>700</v>
      </c>
      <c r="I74" s="209"/>
    </row>
    <row r="75" spans="1:9" ht="13" x14ac:dyDescent="0.15">
      <c r="A75" s="204" t="s">
        <v>965</v>
      </c>
      <c r="B75" s="205">
        <v>25</v>
      </c>
      <c r="C75" s="204" t="s">
        <v>698</v>
      </c>
      <c r="D75" s="205"/>
      <c r="E75" s="205" t="s">
        <v>412</v>
      </c>
      <c r="F75" s="204" t="s">
        <v>670</v>
      </c>
      <c r="G75" s="204" t="s">
        <v>699</v>
      </c>
      <c r="H75" s="204" t="s">
        <v>700</v>
      </c>
      <c r="I75" s="209"/>
    </row>
    <row r="76" spans="1:9" ht="13.5" customHeight="1" x14ac:dyDescent="0.15">
      <c r="A76" s="204" t="s">
        <v>966</v>
      </c>
      <c r="B76" s="205">
        <v>25</v>
      </c>
      <c r="C76" s="204" t="s">
        <v>698</v>
      </c>
      <c r="D76" s="205"/>
      <c r="E76" s="205" t="s">
        <v>412</v>
      </c>
      <c r="F76" s="204" t="s">
        <v>670</v>
      </c>
      <c r="G76" s="204" t="s">
        <v>699</v>
      </c>
      <c r="H76" s="204" t="s">
        <v>700</v>
      </c>
      <c r="I76" s="209"/>
    </row>
    <row r="77" spans="1:9" ht="13.5" customHeight="1" x14ac:dyDescent="0.15">
      <c r="A77" s="204" t="s">
        <v>967</v>
      </c>
      <c r="B77" s="205">
        <v>25</v>
      </c>
      <c r="C77" s="204" t="s">
        <v>395</v>
      </c>
      <c r="D77" s="205"/>
      <c r="E77" s="205" t="s">
        <v>412</v>
      </c>
      <c r="F77" s="204" t="s">
        <v>670</v>
      </c>
      <c r="G77" s="204" t="s">
        <v>699</v>
      </c>
      <c r="H77" s="204" t="s">
        <v>700</v>
      </c>
      <c r="I77" s="209"/>
    </row>
    <row r="78" spans="1:9" ht="13" x14ac:dyDescent="0.15">
      <c r="A78" s="204" t="s">
        <v>968</v>
      </c>
      <c r="B78" s="205">
        <v>25</v>
      </c>
      <c r="C78" s="204" t="s">
        <v>698</v>
      </c>
      <c r="D78" s="205"/>
      <c r="E78" s="205" t="s">
        <v>412</v>
      </c>
      <c r="F78" s="204" t="s">
        <v>670</v>
      </c>
      <c r="G78" s="204" t="s">
        <v>699</v>
      </c>
      <c r="H78" s="204" t="s">
        <v>700</v>
      </c>
      <c r="I78" s="209"/>
    </row>
    <row r="79" spans="1:9" ht="13" x14ac:dyDescent="0.15">
      <c r="A79" s="204" t="s">
        <v>969</v>
      </c>
      <c r="B79" s="205">
        <v>25</v>
      </c>
      <c r="C79" s="204" t="s">
        <v>698</v>
      </c>
      <c r="D79" s="205"/>
      <c r="E79" s="205" t="s">
        <v>412</v>
      </c>
      <c r="F79" s="204" t="s">
        <v>670</v>
      </c>
      <c r="G79" s="204" t="s">
        <v>699</v>
      </c>
      <c r="H79" s="204" t="s">
        <v>700</v>
      </c>
      <c r="I79" s="209"/>
    </row>
    <row r="80" spans="1:9" ht="13.5" customHeight="1" x14ac:dyDescent="0.15">
      <c r="A80" s="204" t="s">
        <v>1047</v>
      </c>
      <c r="B80" s="205">
        <v>27</v>
      </c>
      <c r="C80" s="204" t="s">
        <v>395</v>
      </c>
      <c r="D80" s="205" t="s">
        <v>585</v>
      </c>
      <c r="E80" s="205" t="s">
        <v>412</v>
      </c>
      <c r="F80" s="204" t="s">
        <v>670</v>
      </c>
      <c r="G80" s="204" t="s">
        <v>1048</v>
      </c>
      <c r="H80" s="204" t="s">
        <v>700</v>
      </c>
      <c r="I80" s="209"/>
    </row>
    <row r="81" spans="1:9" ht="13" x14ac:dyDescent="0.15">
      <c r="A81" s="204" t="s">
        <v>646</v>
      </c>
      <c r="B81" s="205">
        <v>22</v>
      </c>
      <c r="C81" s="204" t="s">
        <v>395</v>
      </c>
      <c r="D81" s="205" t="s">
        <v>585</v>
      </c>
      <c r="E81" s="205" t="s">
        <v>412</v>
      </c>
      <c r="F81" s="204" t="s">
        <v>647</v>
      </c>
      <c r="G81" s="204" t="s">
        <v>648</v>
      </c>
      <c r="H81" s="204" t="s">
        <v>649</v>
      </c>
      <c r="I81" s="209"/>
    </row>
    <row r="82" spans="1:9" ht="39" x14ac:dyDescent="0.15">
      <c r="A82" s="204" t="s">
        <v>756</v>
      </c>
      <c r="B82" s="205">
        <v>28</v>
      </c>
      <c r="C82" s="204" t="s">
        <v>395</v>
      </c>
      <c r="D82" s="205" t="s">
        <v>585</v>
      </c>
      <c r="E82" s="205" t="s">
        <v>412</v>
      </c>
      <c r="F82" s="204" t="s">
        <v>757</v>
      </c>
      <c r="G82" s="204" t="s">
        <v>758</v>
      </c>
      <c r="H82" s="204" t="s">
        <v>649</v>
      </c>
      <c r="I82" s="209"/>
    </row>
    <row r="83" spans="1:9" ht="13" x14ac:dyDescent="0.15">
      <c r="A83" s="204" t="s">
        <v>847</v>
      </c>
      <c r="B83" s="205">
        <v>20</v>
      </c>
      <c r="C83" s="204" t="s">
        <v>395</v>
      </c>
      <c r="D83" s="205"/>
      <c r="E83" s="205" t="s">
        <v>412</v>
      </c>
      <c r="F83" s="204" t="s">
        <v>848</v>
      </c>
      <c r="G83" s="204" t="s">
        <v>849</v>
      </c>
      <c r="H83" s="204" t="s">
        <v>649</v>
      </c>
      <c r="I83" s="209"/>
    </row>
    <row r="84" spans="1:9" ht="13.5" customHeight="1" x14ac:dyDescent="0.15">
      <c r="A84" s="204" t="s">
        <v>1043</v>
      </c>
      <c r="B84" s="205">
        <v>25</v>
      </c>
      <c r="C84" s="204" t="s">
        <v>385</v>
      </c>
      <c r="D84" s="205" t="s">
        <v>585</v>
      </c>
      <c r="E84" s="205" t="s">
        <v>412</v>
      </c>
      <c r="F84" s="204" t="s">
        <v>644</v>
      </c>
      <c r="G84" s="204" t="s">
        <v>1044</v>
      </c>
      <c r="H84" s="204" t="s">
        <v>649</v>
      </c>
      <c r="I84" s="209"/>
    </row>
    <row r="85" spans="1:9" ht="13" x14ac:dyDescent="0.15">
      <c r="A85" s="204" t="s">
        <v>864</v>
      </c>
      <c r="B85" s="205">
        <v>20</v>
      </c>
      <c r="C85" s="204" t="s">
        <v>395</v>
      </c>
      <c r="D85" s="205"/>
      <c r="E85" s="205" t="s">
        <v>412</v>
      </c>
      <c r="F85" s="204" t="s">
        <v>858</v>
      </c>
      <c r="G85" s="204" t="s">
        <v>865</v>
      </c>
      <c r="H85" s="204" t="s">
        <v>866</v>
      </c>
      <c r="I85" s="209"/>
    </row>
    <row r="86" spans="1:9" ht="13" x14ac:dyDescent="0.15">
      <c r="A86" s="204" t="s">
        <v>590</v>
      </c>
      <c r="B86" s="205">
        <v>40</v>
      </c>
      <c r="C86" s="204" t="s">
        <v>591</v>
      </c>
      <c r="D86" s="205" t="s">
        <v>585</v>
      </c>
      <c r="E86" s="205" t="s">
        <v>399</v>
      </c>
      <c r="F86" s="204" t="s">
        <v>592</v>
      </c>
      <c r="G86" s="204" t="s">
        <v>593</v>
      </c>
      <c r="H86" s="204" t="s">
        <v>594</v>
      </c>
      <c r="I86" s="209"/>
    </row>
    <row r="87" spans="1:9" ht="26" x14ac:dyDescent="0.15">
      <c r="A87" s="204" t="s">
        <v>618</v>
      </c>
      <c r="B87" s="205">
        <v>37</v>
      </c>
      <c r="C87" s="204" t="s">
        <v>385</v>
      </c>
      <c r="D87" s="205">
        <v>2014</v>
      </c>
      <c r="E87" s="205" t="s">
        <v>390</v>
      </c>
      <c r="F87" s="204" t="s">
        <v>619</v>
      </c>
      <c r="G87" s="204" t="s">
        <v>620</v>
      </c>
      <c r="H87" s="204" t="s">
        <v>594</v>
      </c>
      <c r="I87" s="209"/>
    </row>
    <row r="88" spans="1:9" ht="13" x14ac:dyDescent="0.15">
      <c r="A88" s="204" t="s">
        <v>654</v>
      </c>
      <c r="B88" s="205">
        <v>34</v>
      </c>
      <c r="C88" s="204" t="s">
        <v>591</v>
      </c>
      <c r="D88" s="205">
        <v>2019</v>
      </c>
      <c r="E88" s="205" t="s">
        <v>412</v>
      </c>
      <c r="F88" s="204" t="s">
        <v>600</v>
      </c>
      <c r="G88" s="204" t="s">
        <v>655</v>
      </c>
      <c r="H88" s="204" t="s">
        <v>594</v>
      </c>
      <c r="I88" s="209"/>
    </row>
    <row r="89" spans="1:9" ht="26" x14ac:dyDescent="0.15">
      <c r="A89" s="204" t="s">
        <v>657</v>
      </c>
      <c r="B89" s="205">
        <v>38</v>
      </c>
      <c r="C89" s="204" t="s">
        <v>385</v>
      </c>
      <c r="D89" s="205">
        <v>2017</v>
      </c>
      <c r="E89" s="205" t="s">
        <v>412</v>
      </c>
      <c r="F89" s="204" t="s">
        <v>658</v>
      </c>
      <c r="G89" s="204" t="s">
        <v>659</v>
      </c>
      <c r="H89" s="204" t="s">
        <v>594</v>
      </c>
      <c r="I89" s="209"/>
    </row>
    <row r="90" spans="1:9" ht="13" x14ac:dyDescent="0.15">
      <c r="A90" s="204" t="s">
        <v>660</v>
      </c>
      <c r="B90" s="205">
        <v>22</v>
      </c>
      <c r="C90" s="204" t="s">
        <v>385</v>
      </c>
      <c r="D90" s="205" t="s">
        <v>585</v>
      </c>
      <c r="E90" s="205" t="s">
        <v>412</v>
      </c>
      <c r="F90" s="204" t="s">
        <v>661</v>
      </c>
      <c r="G90" s="204" t="s">
        <v>662</v>
      </c>
      <c r="H90" s="204" t="s">
        <v>594</v>
      </c>
      <c r="I90" s="209"/>
    </row>
    <row r="91" spans="1:9" ht="26" x14ac:dyDescent="0.15">
      <c r="A91" s="204" t="s">
        <v>802</v>
      </c>
      <c r="B91" s="205">
        <v>44</v>
      </c>
      <c r="C91" s="204" t="s">
        <v>386</v>
      </c>
      <c r="D91" s="205" t="s">
        <v>585</v>
      </c>
      <c r="E91" s="205" t="s">
        <v>412</v>
      </c>
      <c r="F91" s="204" t="s">
        <v>803</v>
      </c>
      <c r="G91" s="204" t="s">
        <v>804</v>
      </c>
      <c r="H91" s="204" t="s">
        <v>594</v>
      </c>
      <c r="I91" s="209"/>
    </row>
    <row r="92" spans="1:9" ht="26" x14ac:dyDescent="0.15">
      <c r="A92" s="204" t="s">
        <v>993</v>
      </c>
      <c r="B92" s="205">
        <v>52</v>
      </c>
      <c r="C92" s="204" t="s">
        <v>385</v>
      </c>
      <c r="D92" s="205">
        <v>2014</v>
      </c>
      <c r="E92" s="205" t="s">
        <v>390</v>
      </c>
      <c r="F92" s="204" t="s">
        <v>644</v>
      </c>
      <c r="G92" s="204" t="s">
        <v>994</v>
      </c>
      <c r="H92" s="204" t="s">
        <v>594</v>
      </c>
      <c r="I92" s="209"/>
    </row>
    <row r="93" spans="1:9" ht="26" x14ac:dyDescent="0.15">
      <c r="A93" s="204" t="s">
        <v>1001</v>
      </c>
      <c r="B93" s="205">
        <v>60</v>
      </c>
      <c r="C93" s="204" t="s">
        <v>385</v>
      </c>
      <c r="D93" s="205" t="s">
        <v>585</v>
      </c>
      <c r="E93" s="205" t="s">
        <v>390</v>
      </c>
      <c r="F93" s="204" t="s">
        <v>658</v>
      </c>
      <c r="G93" s="204" t="s">
        <v>1002</v>
      </c>
      <c r="H93" s="204" t="s">
        <v>594</v>
      </c>
      <c r="I93" s="209"/>
    </row>
    <row r="94" spans="1:9" ht="13" x14ac:dyDescent="0.15">
      <c r="A94" s="204" t="s">
        <v>650</v>
      </c>
      <c r="B94" s="205">
        <v>23</v>
      </c>
      <c r="C94" s="204" t="s">
        <v>395</v>
      </c>
      <c r="D94" s="205" t="s">
        <v>585</v>
      </c>
      <c r="E94" s="205" t="s">
        <v>399</v>
      </c>
      <c r="F94" s="204" t="s">
        <v>651</v>
      </c>
      <c r="G94" s="204" t="s">
        <v>652</v>
      </c>
      <c r="H94" s="204" t="s">
        <v>653</v>
      </c>
      <c r="I94" s="209"/>
    </row>
    <row r="95" spans="1:9" ht="13" x14ac:dyDescent="0.15">
      <c r="A95" s="204" t="s">
        <v>669</v>
      </c>
      <c r="B95" s="205">
        <v>21</v>
      </c>
      <c r="C95" s="204" t="s">
        <v>395</v>
      </c>
      <c r="D95" s="205"/>
      <c r="E95" s="205" t="s">
        <v>412</v>
      </c>
      <c r="F95" s="204" t="s">
        <v>670</v>
      </c>
      <c r="G95" s="204" t="s">
        <v>671</v>
      </c>
      <c r="H95" s="204" t="s">
        <v>653</v>
      </c>
      <c r="I95" s="209"/>
    </row>
    <row r="96" spans="1:9" ht="26" x14ac:dyDescent="0.15">
      <c r="A96" s="204" t="s">
        <v>766</v>
      </c>
      <c r="B96" s="205">
        <v>37</v>
      </c>
      <c r="C96" s="204" t="s">
        <v>386</v>
      </c>
      <c r="D96" s="205"/>
      <c r="E96" s="205" t="s">
        <v>399</v>
      </c>
      <c r="F96" s="204" t="s">
        <v>767</v>
      </c>
      <c r="G96" s="204" t="s">
        <v>768</v>
      </c>
      <c r="H96" s="204" t="s">
        <v>653</v>
      </c>
      <c r="I96" s="209"/>
    </row>
    <row r="97" spans="1:9" ht="13" x14ac:dyDescent="0.15">
      <c r="A97" s="204" t="s">
        <v>876</v>
      </c>
      <c r="B97" s="205">
        <v>55</v>
      </c>
      <c r="C97" s="204" t="s">
        <v>395</v>
      </c>
      <c r="D97" s="205"/>
      <c r="E97" s="205" t="s">
        <v>412</v>
      </c>
      <c r="F97" s="204" t="s">
        <v>600</v>
      </c>
      <c r="G97" s="204" t="s">
        <v>877</v>
      </c>
      <c r="H97" s="204" t="s">
        <v>653</v>
      </c>
      <c r="I97" s="209"/>
    </row>
    <row r="98" spans="1:9" ht="13" x14ac:dyDescent="0.15">
      <c r="A98" s="204" t="s">
        <v>910</v>
      </c>
      <c r="B98" s="205">
        <v>51</v>
      </c>
      <c r="C98" s="204" t="s">
        <v>395</v>
      </c>
      <c r="D98" s="205" t="s">
        <v>585</v>
      </c>
      <c r="E98" s="205" t="s">
        <v>412</v>
      </c>
      <c r="F98" s="204" t="s">
        <v>783</v>
      </c>
      <c r="G98" s="204" t="s">
        <v>911</v>
      </c>
      <c r="H98" s="204" t="s">
        <v>653</v>
      </c>
      <c r="I98" s="209"/>
    </row>
    <row r="99" spans="1:9" ht="26" x14ac:dyDescent="0.15">
      <c r="A99" s="204" t="s">
        <v>947</v>
      </c>
      <c r="B99" s="205">
        <v>22</v>
      </c>
      <c r="C99" s="204" t="s">
        <v>395</v>
      </c>
      <c r="D99" s="205" t="s">
        <v>585</v>
      </c>
      <c r="E99" s="205" t="s">
        <v>390</v>
      </c>
      <c r="F99" s="204" t="s">
        <v>628</v>
      </c>
      <c r="G99" s="204" t="s">
        <v>948</v>
      </c>
      <c r="H99" s="204" t="s">
        <v>653</v>
      </c>
      <c r="I99" s="209"/>
    </row>
    <row r="100" spans="1:9" ht="13" x14ac:dyDescent="0.15">
      <c r="A100" s="204" t="s">
        <v>949</v>
      </c>
      <c r="B100" s="205">
        <v>20</v>
      </c>
      <c r="C100" s="204" t="s">
        <v>395</v>
      </c>
      <c r="D100" s="205"/>
      <c r="E100" s="205" t="s">
        <v>412</v>
      </c>
      <c r="F100" s="204" t="s">
        <v>950</v>
      </c>
      <c r="G100" s="204" t="s">
        <v>951</v>
      </c>
      <c r="H100" s="204" t="s">
        <v>653</v>
      </c>
      <c r="I100" s="209"/>
    </row>
    <row r="101" spans="1:9" ht="13" x14ac:dyDescent="0.15">
      <c r="A101" s="204" t="s">
        <v>963</v>
      </c>
      <c r="B101" s="205">
        <v>24</v>
      </c>
      <c r="C101" s="204" t="s">
        <v>395</v>
      </c>
      <c r="D101" s="205">
        <v>2014</v>
      </c>
      <c r="E101" s="205" t="s">
        <v>412</v>
      </c>
      <c r="F101" s="204" t="s">
        <v>940</v>
      </c>
      <c r="G101" s="204" t="s">
        <v>964</v>
      </c>
      <c r="H101" s="204" t="s">
        <v>653</v>
      </c>
      <c r="I101" s="209"/>
    </row>
    <row r="102" spans="1:9" ht="39" x14ac:dyDescent="0.15">
      <c r="A102" s="204" t="s">
        <v>981</v>
      </c>
      <c r="B102" s="205">
        <v>32</v>
      </c>
      <c r="C102" s="204" t="s">
        <v>395</v>
      </c>
      <c r="D102" s="205"/>
      <c r="E102" s="205" t="s">
        <v>399</v>
      </c>
      <c r="F102" s="204" t="s">
        <v>600</v>
      </c>
      <c r="G102" s="204" t="s">
        <v>982</v>
      </c>
      <c r="H102" s="204" t="s">
        <v>653</v>
      </c>
      <c r="I102" s="209"/>
    </row>
    <row r="103" spans="1:9" ht="26" x14ac:dyDescent="0.15">
      <c r="A103" s="204" t="s">
        <v>1013</v>
      </c>
      <c r="B103" s="205">
        <v>43</v>
      </c>
      <c r="C103" s="204" t="s">
        <v>395</v>
      </c>
      <c r="D103" s="205">
        <v>2015</v>
      </c>
      <c r="E103" s="205" t="s">
        <v>390</v>
      </c>
      <c r="F103" s="204" t="s">
        <v>897</v>
      </c>
      <c r="G103" s="204" t="s">
        <v>918</v>
      </c>
      <c r="H103" s="204" t="s">
        <v>653</v>
      </c>
      <c r="I103" s="209"/>
    </row>
    <row r="104" spans="1:9" ht="26" x14ac:dyDescent="0.15">
      <c r="A104" s="204" t="s">
        <v>986</v>
      </c>
      <c r="B104" s="205">
        <v>21</v>
      </c>
      <c r="C104" s="204" t="s">
        <v>395</v>
      </c>
      <c r="D104" s="205" t="s">
        <v>585</v>
      </c>
      <c r="E104" s="205" t="s">
        <v>412</v>
      </c>
      <c r="F104" s="204" t="s">
        <v>987</v>
      </c>
      <c r="G104" s="204" t="s">
        <v>988</v>
      </c>
      <c r="H104" s="204" t="s">
        <v>989</v>
      </c>
      <c r="I104" s="209"/>
    </row>
    <row r="105" spans="1:9" ht="13" x14ac:dyDescent="0.15">
      <c r="A105" s="204" t="s">
        <v>721</v>
      </c>
      <c r="B105" s="205">
        <v>20</v>
      </c>
      <c r="C105" s="204" t="s">
        <v>395</v>
      </c>
      <c r="D105" s="205"/>
      <c r="E105" s="205" t="s">
        <v>399</v>
      </c>
      <c r="F105" s="204" t="s">
        <v>722</v>
      </c>
      <c r="G105" s="204" t="s">
        <v>723</v>
      </c>
      <c r="H105" s="204" t="s">
        <v>724</v>
      </c>
      <c r="I105" s="209"/>
    </row>
    <row r="106" spans="1:9" ht="26" x14ac:dyDescent="0.15">
      <c r="A106" s="204" t="s">
        <v>759</v>
      </c>
      <c r="B106" s="205">
        <v>23</v>
      </c>
      <c r="C106" s="204" t="s">
        <v>395</v>
      </c>
      <c r="D106" s="205" t="s">
        <v>585</v>
      </c>
      <c r="E106" s="205" t="s">
        <v>412</v>
      </c>
      <c r="F106" s="204" t="s">
        <v>604</v>
      </c>
      <c r="G106" s="204" t="s">
        <v>760</v>
      </c>
      <c r="H106" s="204" t="s">
        <v>724</v>
      </c>
      <c r="I106" s="209"/>
    </row>
    <row r="107" spans="1:9" ht="26" x14ac:dyDescent="0.15">
      <c r="A107" s="204" t="s">
        <v>817</v>
      </c>
      <c r="B107" s="205">
        <v>22</v>
      </c>
      <c r="C107" s="204" t="s">
        <v>386</v>
      </c>
      <c r="D107" s="205" t="s">
        <v>585</v>
      </c>
      <c r="E107" s="205" t="s">
        <v>412</v>
      </c>
      <c r="F107" s="204" t="s">
        <v>779</v>
      </c>
      <c r="G107" s="204" t="s">
        <v>818</v>
      </c>
      <c r="H107" s="204" t="s">
        <v>724</v>
      </c>
      <c r="I107" s="209"/>
    </row>
    <row r="108" spans="1:9" ht="26" x14ac:dyDescent="0.15">
      <c r="A108" s="204" t="s">
        <v>819</v>
      </c>
      <c r="B108" s="205">
        <v>24</v>
      </c>
      <c r="C108" s="204" t="s">
        <v>395</v>
      </c>
      <c r="D108" s="205" t="s">
        <v>585</v>
      </c>
      <c r="E108" s="205" t="s">
        <v>412</v>
      </c>
      <c r="F108" s="204" t="s">
        <v>779</v>
      </c>
      <c r="G108" s="204" t="s">
        <v>818</v>
      </c>
      <c r="H108" s="204" t="s">
        <v>724</v>
      </c>
      <c r="I108" s="209"/>
    </row>
    <row r="109" spans="1:9" ht="13" x14ac:dyDescent="0.15">
      <c r="A109" s="204" t="s">
        <v>820</v>
      </c>
      <c r="B109" s="205" t="s">
        <v>821</v>
      </c>
      <c r="C109" s="204" t="s">
        <v>395</v>
      </c>
      <c r="D109" s="205"/>
      <c r="E109" s="205" t="s">
        <v>399</v>
      </c>
      <c r="F109" s="204" t="s">
        <v>822</v>
      </c>
      <c r="G109" s="204" t="s">
        <v>823</v>
      </c>
      <c r="H109" s="204" t="s">
        <v>724</v>
      </c>
      <c r="I109" s="209"/>
    </row>
    <row r="110" spans="1:9" ht="13" x14ac:dyDescent="0.15">
      <c r="A110" s="204" t="s">
        <v>824</v>
      </c>
      <c r="B110" s="205" t="s">
        <v>821</v>
      </c>
      <c r="C110" s="204" t="s">
        <v>395</v>
      </c>
      <c r="D110" s="205"/>
      <c r="E110" s="205" t="s">
        <v>399</v>
      </c>
      <c r="F110" s="204" t="s">
        <v>822</v>
      </c>
      <c r="G110" s="204" t="s">
        <v>823</v>
      </c>
      <c r="H110" s="204" t="s">
        <v>724</v>
      </c>
      <c r="I110" s="209"/>
    </row>
    <row r="111" spans="1:9" ht="13" x14ac:dyDescent="0.15">
      <c r="A111" s="204" t="s">
        <v>825</v>
      </c>
      <c r="B111" s="205" t="s">
        <v>821</v>
      </c>
      <c r="C111" s="204" t="s">
        <v>395</v>
      </c>
      <c r="D111" s="205"/>
      <c r="E111" s="205" t="s">
        <v>399</v>
      </c>
      <c r="F111" s="204" t="s">
        <v>822</v>
      </c>
      <c r="G111" s="204" t="s">
        <v>823</v>
      </c>
      <c r="H111" s="204" t="s">
        <v>724</v>
      </c>
      <c r="I111" s="209"/>
    </row>
    <row r="112" spans="1:9" ht="13" x14ac:dyDescent="0.15">
      <c r="A112" s="204" t="s">
        <v>826</v>
      </c>
      <c r="B112" s="205" t="s">
        <v>821</v>
      </c>
      <c r="C112" s="204" t="s">
        <v>395</v>
      </c>
      <c r="D112" s="205"/>
      <c r="E112" s="205" t="s">
        <v>399</v>
      </c>
      <c r="F112" s="204" t="s">
        <v>822</v>
      </c>
      <c r="G112" s="204" t="s">
        <v>823</v>
      </c>
      <c r="H112" s="204" t="s">
        <v>724</v>
      </c>
      <c r="I112" s="209"/>
    </row>
    <row r="113" spans="1:9" ht="13" x14ac:dyDescent="0.15">
      <c r="A113" s="204" t="s">
        <v>827</v>
      </c>
      <c r="B113" s="205">
        <v>23</v>
      </c>
      <c r="C113" s="204" t="s">
        <v>395</v>
      </c>
      <c r="D113" s="205"/>
      <c r="E113" s="205" t="s">
        <v>399</v>
      </c>
      <c r="F113" s="204" t="s">
        <v>828</v>
      </c>
      <c r="G113" s="204" t="s">
        <v>823</v>
      </c>
      <c r="H113" s="204" t="s">
        <v>724</v>
      </c>
      <c r="I113" s="209"/>
    </row>
    <row r="114" spans="1:9" ht="39" customHeight="1" x14ac:dyDescent="0.15">
      <c r="A114" s="204" t="s">
        <v>829</v>
      </c>
      <c r="B114" s="205">
        <v>31</v>
      </c>
      <c r="C114" s="204" t="s">
        <v>395</v>
      </c>
      <c r="D114" s="205" t="s">
        <v>585</v>
      </c>
      <c r="E114" s="205" t="s">
        <v>412</v>
      </c>
      <c r="F114" s="204" t="s">
        <v>830</v>
      </c>
      <c r="G114" s="204" t="s">
        <v>823</v>
      </c>
      <c r="H114" s="204" t="s">
        <v>724</v>
      </c>
      <c r="I114" s="209"/>
    </row>
    <row r="115" spans="1:9" ht="13" x14ac:dyDescent="0.15">
      <c r="A115" s="204" t="s">
        <v>831</v>
      </c>
      <c r="B115" s="205">
        <v>20</v>
      </c>
      <c r="C115" s="204" t="s">
        <v>395</v>
      </c>
      <c r="D115" s="205"/>
      <c r="E115" s="205" t="s">
        <v>412</v>
      </c>
      <c r="F115" s="204" t="s">
        <v>830</v>
      </c>
      <c r="G115" s="204" t="s">
        <v>823</v>
      </c>
      <c r="H115" s="204" t="s">
        <v>724</v>
      </c>
      <c r="I115" s="209"/>
    </row>
    <row r="116" spans="1:9" ht="13" x14ac:dyDescent="0.15">
      <c r="A116" s="204" t="s">
        <v>861</v>
      </c>
      <c r="B116" s="205">
        <v>25</v>
      </c>
      <c r="C116" s="204" t="s">
        <v>395</v>
      </c>
      <c r="D116" s="205" t="s">
        <v>585</v>
      </c>
      <c r="E116" s="205" t="s">
        <v>399</v>
      </c>
      <c r="F116" s="204" t="s">
        <v>862</v>
      </c>
      <c r="G116" s="204" t="s">
        <v>863</v>
      </c>
      <c r="H116" s="204" t="s">
        <v>724</v>
      </c>
      <c r="I116" s="209"/>
    </row>
    <row r="117" spans="1:9" ht="13" x14ac:dyDescent="0.15">
      <c r="A117" s="204" t="s">
        <v>872</v>
      </c>
      <c r="B117" s="205">
        <v>22</v>
      </c>
      <c r="C117" s="204" t="s">
        <v>395</v>
      </c>
      <c r="D117" s="205" t="s">
        <v>585</v>
      </c>
      <c r="E117" s="205" t="s">
        <v>399</v>
      </c>
      <c r="F117" s="204" t="s">
        <v>873</v>
      </c>
      <c r="G117" s="204" t="s">
        <v>874</v>
      </c>
      <c r="H117" s="204" t="s">
        <v>724</v>
      </c>
      <c r="I117" s="209"/>
    </row>
    <row r="118" spans="1:9" ht="13" x14ac:dyDescent="0.15">
      <c r="A118" s="204" t="s">
        <v>945</v>
      </c>
      <c r="B118" s="205" t="s">
        <v>821</v>
      </c>
      <c r="C118" s="204" t="s">
        <v>395</v>
      </c>
      <c r="D118" s="205"/>
      <c r="E118" s="205" t="s">
        <v>399</v>
      </c>
      <c r="F118" s="204"/>
      <c r="G118" s="204" t="s">
        <v>918</v>
      </c>
      <c r="H118" s="204" t="s">
        <v>724</v>
      </c>
      <c r="I118" s="209"/>
    </row>
    <row r="119" spans="1:9" ht="25.5" customHeight="1" x14ac:dyDescent="0.15">
      <c r="A119" s="204" t="s">
        <v>946</v>
      </c>
      <c r="B119" s="205">
        <v>20</v>
      </c>
      <c r="C119" s="204" t="s">
        <v>395</v>
      </c>
      <c r="D119" s="205"/>
      <c r="E119" s="205" t="s">
        <v>412</v>
      </c>
      <c r="F119" s="204" t="s">
        <v>858</v>
      </c>
      <c r="G119" s="204" t="s">
        <v>918</v>
      </c>
      <c r="H119" s="204" t="s">
        <v>724</v>
      </c>
      <c r="I119" s="209"/>
    </row>
    <row r="120" spans="1:9" ht="25.5" customHeight="1" x14ac:dyDescent="0.15">
      <c r="A120" s="204" t="s">
        <v>995</v>
      </c>
      <c r="B120" s="205">
        <v>32</v>
      </c>
      <c r="C120" s="204" t="s">
        <v>395</v>
      </c>
      <c r="D120" s="205" t="s">
        <v>585</v>
      </c>
      <c r="E120" s="205" t="s">
        <v>399</v>
      </c>
      <c r="F120" s="204" t="s">
        <v>996</v>
      </c>
      <c r="G120" s="204" t="s">
        <v>997</v>
      </c>
      <c r="H120" s="204" t="s">
        <v>724</v>
      </c>
      <c r="I120" s="209"/>
    </row>
    <row r="121" spans="1:9" ht="13" x14ac:dyDescent="0.15">
      <c r="A121" s="204" t="s">
        <v>998</v>
      </c>
      <c r="B121" s="205">
        <v>23</v>
      </c>
      <c r="C121" s="204" t="s">
        <v>395</v>
      </c>
      <c r="D121" s="205"/>
      <c r="E121" s="205" t="s">
        <v>412</v>
      </c>
      <c r="F121" s="204" t="s">
        <v>999</v>
      </c>
      <c r="G121" s="204" t="s">
        <v>1000</v>
      </c>
      <c r="H121" s="204" t="s">
        <v>724</v>
      </c>
      <c r="I121" s="209"/>
    </row>
    <row r="122" spans="1:9" ht="26" x14ac:dyDescent="0.15">
      <c r="A122" s="204" t="s">
        <v>1055</v>
      </c>
      <c r="B122" s="205">
        <v>30</v>
      </c>
      <c r="C122" s="204" t="s">
        <v>395</v>
      </c>
      <c r="D122" s="205" t="s">
        <v>585</v>
      </c>
      <c r="E122" s="205" t="s">
        <v>412</v>
      </c>
      <c r="F122" s="204" t="s">
        <v>984</v>
      </c>
      <c r="G122" s="204" t="s">
        <v>1056</v>
      </c>
      <c r="H122" s="204" t="s">
        <v>724</v>
      </c>
      <c r="I122" s="209"/>
    </row>
    <row r="123" spans="1:9" ht="13" x14ac:dyDescent="0.15">
      <c r="A123" s="204" t="s">
        <v>599</v>
      </c>
      <c r="B123" s="205">
        <v>40</v>
      </c>
      <c r="C123" s="204" t="s">
        <v>395</v>
      </c>
      <c r="D123" s="205" t="s">
        <v>585</v>
      </c>
      <c r="E123" s="205" t="s">
        <v>412</v>
      </c>
      <c r="F123" s="204" t="s">
        <v>600</v>
      </c>
      <c r="G123" s="204" t="s">
        <v>601</v>
      </c>
      <c r="H123" s="204" t="s">
        <v>602</v>
      </c>
      <c r="I123" s="209"/>
    </row>
    <row r="124" spans="1:9" ht="26" x14ac:dyDescent="0.15">
      <c r="A124" s="204" t="s">
        <v>603</v>
      </c>
      <c r="B124" s="205">
        <v>24</v>
      </c>
      <c r="C124" s="204" t="s">
        <v>386</v>
      </c>
      <c r="D124" s="205">
        <v>2014</v>
      </c>
      <c r="E124" s="205" t="s">
        <v>390</v>
      </c>
      <c r="F124" s="204" t="s">
        <v>604</v>
      </c>
      <c r="G124" s="204" t="s">
        <v>605</v>
      </c>
      <c r="H124" s="204" t="s">
        <v>602</v>
      </c>
      <c r="I124" s="209"/>
    </row>
    <row r="125" spans="1:9" ht="26" x14ac:dyDescent="0.15">
      <c r="A125" s="204" t="s">
        <v>781</v>
      </c>
      <c r="B125" s="205">
        <v>26</v>
      </c>
      <c r="C125" s="204" t="s">
        <v>395</v>
      </c>
      <c r="D125" s="205">
        <v>2015</v>
      </c>
      <c r="E125" s="205" t="s">
        <v>390</v>
      </c>
      <c r="F125" s="204" t="s">
        <v>734</v>
      </c>
      <c r="G125" s="204" t="s">
        <v>777</v>
      </c>
      <c r="H125" s="204" t="s">
        <v>602</v>
      </c>
      <c r="I125" s="209"/>
    </row>
    <row r="126" spans="1:9" ht="26" x14ac:dyDescent="0.15">
      <c r="A126" s="204" t="s">
        <v>908</v>
      </c>
      <c r="B126" s="205">
        <v>24</v>
      </c>
      <c r="C126" s="204" t="s">
        <v>385</v>
      </c>
      <c r="D126" s="205" t="s">
        <v>585</v>
      </c>
      <c r="E126" s="205" t="s">
        <v>412</v>
      </c>
      <c r="F126" s="204" t="s">
        <v>658</v>
      </c>
      <c r="G126" s="204" t="s">
        <v>909</v>
      </c>
      <c r="H126" s="204" t="s">
        <v>602</v>
      </c>
    </row>
    <row r="127" spans="1:9" ht="13" x14ac:dyDescent="0.15">
      <c r="A127" s="204" t="s">
        <v>934</v>
      </c>
      <c r="B127" s="205">
        <v>51</v>
      </c>
      <c r="C127" s="204" t="s">
        <v>395</v>
      </c>
      <c r="D127" s="205" t="s">
        <v>585</v>
      </c>
      <c r="E127" s="205" t="s">
        <v>412</v>
      </c>
      <c r="F127" s="204" t="s">
        <v>635</v>
      </c>
      <c r="G127" s="204" t="s">
        <v>935</v>
      </c>
      <c r="H127" s="204" t="s">
        <v>602</v>
      </c>
    </row>
    <row r="128" spans="1:9" ht="26" x14ac:dyDescent="0.15">
      <c r="A128" s="204" t="s">
        <v>1010</v>
      </c>
      <c r="B128" s="205">
        <v>40</v>
      </c>
      <c r="C128" s="204" t="s">
        <v>395</v>
      </c>
      <c r="D128" s="205">
        <v>2015</v>
      </c>
      <c r="E128" s="205" t="s">
        <v>412</v>
      </c>
      <c r="F128" s="204" t="s">
        <v>1011</v>
      </c>
      <c r="G128" s="204" t="s">
        <v>1012</v>
      </c>
      <c r="H128" s="204" t="s">
        <v>602</v>
      </c>
    </row>
    <row r="129" spans="1:8" ht="26" x14ac:dyDescent="0.15">
      <c r="A129" s="204" t="s">
        <v>1053</v>
      </c>
      <c r="B129" s="205">
        <v>30</v>
      </c>
      <c r="C129" s="204" t="s">
        <v>395</v>
      </c>
      <c r="D129" s="205"/>
      <c r="E129" s="205" t="s">
        <v>412</v>
      </c>
      <c r="F129" s="204" t="s">
        <v>1054</v>
      </c>
      <c r="G129" s="204" t="s">
        <v>816</v>
      </c>
      <c r="H129" s="204" t="s">
        <v>602</v>
      </c>
    </row>
    <row r="130" spans="1:8" ht="26" x14ac:dyDescent="0.15">
      <c r="A130" s="204" t="s">
        <v>709</v>
      </c>
      <c r="B130" s="205">
        <v>32</v>
      </c>
      <c r="C130" s="204" t="s">
        <v>395</v>
      </c>
      <c r="D130" s="205" t="s">
        <v>585</v>
      </c>
      <c r="E130" s="205" t="s">
        <v>412</v>
      </c>
      <c r="F130" s="204" t="s">
        <v>710</v>
      </c>
      <c r="G130" s="204" t="s">
        <v>711</v>
      </c>
      <c r="H130" s="204" t="s">
        <v>712</v>
      </c>
    </row>
    <row r="131" spans="1:8" ht="26" x14ac:dyDescent="0.15">
      <c r="A131" s="204" t="s">
        <v>730</v>
      </c>
      <c r="B131" s="205">
        <v>30</v>
      </c>
      <c r="C131" s="204" t="s">
        <v>395</v>
      </c>
      <c r="D131" s="205" t="s">
        <v>585</v>
      </c>
      <c r="E131" s="205" t="s">
        <v>412</v>
      </c>
      <c r="F131" s="204" t="s">
        <v>731</v>
      </c>
      <c r="G131" s="204" t="s">
        <v>732</v>
      </c>
      <c r="H131" s="204" t="s">
        <v>712</v>
      </c>
    </row>
    <row r="132" spans="1:8" ht="26" x14ac:dyDescent="0.15">
      <c r="A132" s="204" t="s">
        <v>842</v>
      </c>
      <c r="B132" s="205">
        <v>35</v>
      </c>
      <c r="C132" s="204" t="s">
        <v>843</v>
      </c>
      <c r="D132" s="205" t="s">
        <v>585</v>
      </c>
      <c r="E132" s="205" t="s">
        <v>412</v>
      </c>
      <c r="F132" s="204" t="s">
        <v>803</v>
      </c>
      <c r="G132" s="204" t="s">
        <v>844</v>
      </c>
      <c r="H132" s="204" t="s">
        <v>712</v>
      </c>
    </row>
    <row r="133" spans="1:8" ht="26" x14ac:dyDescent="0.15">
      <c r="A133" s="204" t="s">
        <v>1049</v>
      </c>
      <c r="B133" s="205">
        <v>23</v>
      </c>
      <c r="C133" s="204" t="s">
        <v>395</v>
      </c>
      <c r="D133" s="205"/>
      <c r="E133" s="205" t="s">
        <v>399</v>
      </c>
      <c r="F133" s="204" t="s">
        <v>670</v>
      </c>
      <c r="G133" s="204" t="s">
        <v>1050</v>
      </c>
      <c r="H133" s="204" t="s">
        <v>712</v>
      </c>
    </row>
    <row r="134" spans="1:8" ht="39" x14ac:dyDescent="0.15">
      <c r="A134" s="204" t="s">
        <v>717</v>
      </c>
      <c r="B134" s="205">
        <v>22</v>
      </c>
      <c r="C134" s="204" t="s">
        <v>395</v>
      </c>
      <c r="D134" s="205"/>
      <c r="E134" s="205" t="s">
        <v>412</v>
      </c>
      <c r="F134" s="204" t="s">
        <v>718</v>
      </c>
      <c r="G134" s="204" t="s">
        <v>719</v>
      </c>
      <c r="H134" s="204" t="s">
        <v>720</v>
      </c>
    </row>
    <row r="135" spans="1:8" ht="13" x14ac:dyDescent="0.15">
      <c r="A135" s="204" t="s">
        <v>832</v>
      </c>
      <c r="B135" s="205">
        <v>25</v>
      </c>
      <c r="C135" s="204" t="s">
        <v>395</v>
      </c>
      <c r="D135" s="205" t="s">
        <v>585</v>
      </c>
      <c r="E135" s="205" t="s">
        <v>399</v>
      </c>
      <c r="F135" s="204" t="s">
        <v>833</v>
      </c>
      <c r="G135" s="204" t="s">
        <v>834</v>
      </c>
      <c r="H135" s="204" t="s">
        <v>720</v>
      </c>
    </row>
    <row r="136" spans="1:8" ht="26" x14ac:dyDescent="0.15">
      <c r="A136" s="204" t="s">
        <v>1014</v>
      </c>
      <c r="B136" s="205">
        <v>29</v>
      </c>
      <c r="C136" s="204" t="s">
        <v>591</v>
      </c>
      <c r="D136" s="205">
        <v>2014</v>
      </c>
      <c r="E136" s="205" t="s">
        <v>390</v>
      </c>
      <c r="F136" s="204" t="s">
        <v>991</v>
      </c>
      <c r="G136" s="204" t="s">
        <v>1015</v>
      </c>
      <c r="H136" s="204" t="s">
        <v>1016</v>
      </c>
    </row>
    <row r="137" spans="1:8" ht="13" x14ac:dyDescent="0.15">
      <c r="A137" s="204" t="s">
        <v>630</v>
      </c>
      <c r="B137" s="205">
        <v>28</v>
      </c>
      <c r="C137" s="204" t="s">
        <v>395</v>
      </c>
      <c r="D137" s="205" t="s">
        <v>585</v>
      </c>
      <c r="E137" s="205" t="s">
        <v>412</v>
      </c>
      <c r="F137" s="204" t="s">
        <v>631</v>
      </c>
      <c r="G137" s="204" t="s">
        <v>632</v>
      </c>
      <c r="H137" s="204" t="s">
        <v>633</v>
      </c>
    </row>
    <row r="138" spans="1:8" ht="13" x14ac:dyDescent="0.15">
      <c r="A138" s="204" t="s">
        <v>634</v>
      </c>
      <c r="B138" s="205">
        <v>42</v>
      </c>
      <c r="C138" s="204" t="s">
        <v>395</v>
      </c>
      <c r="D138" s="205"/>
      <c r="E138" s="205" t="s">
        <v>399</v>
      </c>
      <c r="F138" s="204" t="s">
        <v>635</v>
      </c>
      <c r="G138" s="204" t="s">
        <v>520</v>
      </c>
      <c r="H138" s="204" t="s">
        <v>633</v>
      </c>
    </row>
    <row r="139" spans="1:8" ht="26" x14ac:dyDescent="0.15">
      <c r="A139" s="204" t="s">
        <v>725</v>
      </c>
      <c r="B139" s="205">
        <v>31</v>
      </c>
      <c r="C139" s="204" t="s">
        <v>395</v>
      </c>
      <c r="D139" s="205">
        <v>2015</v>
      </c>
      <c r="E139" s="205" t="s">
        <v>390</v>
      </c>
      <c r="F139" s="204" t="s">
        <v>726</v>
      </c>
      <c r="G139" s="204" t="s">
        <v>727</v>
      </c>
      <c r="H139" s="204" t="s">
        <v>633</v>
      </c>
    </row>
    <row r="140" spans="1:8" ht="13" x14ac:dyDescent="0.15">
      <c r="A140" s="204" t="s">
        <v>738</v>
      </c>
      <c r="B140" s="205">
        <v>42</v>
      </c>
      <c r="C140" s="204" t="s">
        <v>395</v>
      </c>
      <c r="D140" s="205" t="s">
        <v>585</v>
      </c>
      <c r="E140" s="205" t="s">
        <v>399</v>
      </c>
      <c r="F140" s="204" t="s">
        <v>635</v>
      </c>
      <c r="G140" s="204" t="s">
        <v>739</v>
      </c>
      <c r="H140" s="204" t="s">
        <v>633</v>
      </c>
    </row>
    <row r="141" spans="1:8" ht="13" x14ac:dyDescent="0.15">
      <c r="A141" s="204" t="s">
        <v>740</v>
      </c>
      <c r="B141" s="205">
        <v>36</v>
      </c>
      <c r="C141" s="204" t="s">
        <v>395</v>
      </c>
      <c r="D141" s="205" t="s">
        <v>585</v>
      </c>
      <c r="E141" s="205" t="s">
        <v>399</v>
      </c>
      <c r="F141" s="204" t="s">
        <v>635</v>
      </c>
      <c r="G141" s="204" t="s">
        <v>739</v>
      </c>
      <c r="H141" s="204" t="s">
        <v>633</v>
      </c>
    </row>
    <row r="142" spans="1:8" ht="26" x14ac:dyDescent="0.15">
      <c r="A142" s="204" t="s">
        <v>746</v>
      </c>
      <c r="B142" s="205">
        <v>21</v>
      </c>
      <c r="C142" s="204" t="s">
        <v>395</v>
      </c>
      <c r="D142" s="205" t="s">
        <v>585</v>
      </c>
      <c r="E142" s="205" t="s">
        <v>390</v>
      </c>
      <c r="F142" s="204" t="s">
        <v>596</v>
      </c>
      <c r="G142" s="204" t="s">
        <v>747</v>
      </c>
      <c r="H142" s="204" t="s">
        <v>633</v>
      </c>
    </row>
    <row r="143" spans="1:8" ht="26" x14ac:dyDescent="0.15">
      <c r="A143" s="204" t="s">
        <v>748</v>
      </c>
      <c r="B143" s="205">
        <v>21</v>
      </c>
      <c r="C143" s="204" t="s">
        <v>395</v>
      </c>
      <c r="D143" s="205" t="s">
        <v>585</v>
      </c>
      <c r="E143" s="205" t="s">
        <v>390</v>
      </c>
      <c r="F143" s="204" t="s">
        <v>596</v>
      </c>
      <c r="G143" s="204" t="s">
        <v>747</v>
      </c>
      <c r="H143" s="204" t="s">
        <v>633</v>
      </c>
    </row>
    <row r="144" spans="1:8" ht="39" x14ac:dyDescent="0.15">
      <c r="A144" s="204" t="s">
        <v>840</v>
      </c>
      <c r="B144" s="205">
        <v>25</v>
      </c>
      <c r="C144" s="204" t="s">
        <v>395</v>
      </c>
      <c r="D144" s="205" t="s">
        <v>585</v>
      </c>
      <c r="E144" s="205" t="s">
        <v>399</v>
      </c>
      <c r="F144" s="204" t="s">
        <v>783</v>
      </c>
      <c r="G144" s="204" t="s">
        <v>841</v>
      </c>
      <c r="H144" s="204" t="s">
        <v>633</v>
      </c>
    </row>
    <row r="145" spans="1:8" ht="26" x14ac:dyDescent="0.15">
      <c r="A145" s="204" t="s">
        <v>860</v>
      </c>
      <c r="B145" s="205">
        <v>36</v>
      </c>
      <c r="C145" s="204" t="s">
        <v>395</v>
      </c>
      <c r="D145" s="205">
        <v>2015</v>
      </c>
      <c r="E145" s="205" t="s">
        <v>390</v>
      </c>
      <c r="F145" s="204" t="s">
        <v>686</v>
      </c>
      <c r="G145" s="204" t="s">
        <v>777</v>
      </c>
      <c r="H145" s="204" t="s">
        <v>633</v>
      </c>
    </row>
    <row r="146" spans="1:8" ht="26" x14ac:dyDescent="0.15">
      <c r="A146" s="204" t="s">
        <v>595</v>
      </c>
      <c r="B146" s="205">
        <v>24</v>
      </c>
      <c r="C146" s="204" t="s">
        <v>395</v>
      </c>
      <c r="D146" s="205" t="s">
        <v>585</v>
      </c>
      <c r="E146" s="205" t="s">
        <v>399</v>
      </c>
      <c r="F146" s="204" t="s">
        <v>596</v>
      </c>
      <c r="G146" s="204" t="s">
        <v>597</v>
      </c>
      <c r="H146" s="204" t="s">
        <v>598</v>
      </c>
    </row>
    <row r="147" spans="1:8" ht="26" x14ac:dyDescent="0.15">
      <c r="A147" s="204" t="s">
        <v>855</v>
      </c>
      <c r="B147" s="205">
        <v>22</v>
      </c>
      <c r="C147" s="204" t="s">
        <v>395</v>
      </c>
      <c r="D147" s="205" t="s">
        <v>585</v>
      </c>
      <c r="E147" s="205" t="s">
        <v>399</v>
      </c>
      <c r="F147" s="204" t="s">
        <v>783</v>
      </c>
      <c r="G147" s="204" t="s">
        <v>856</v>
      </c>
      <c r="H147" s="204" t="s">
        <v>598</v>
      </c>
    </row>
    <row r="148" spans="1:8" ht="52" x14ac:dyDescent="0.15">
      <c r="A148" s="204" t="s">
        <v>733</v>
      </c>
      <c r="B148" s="205">
        <v>37</v>
      </c>
      <c r="C148" s="204" t="s">
        <v>395</v>
      </c>
      <c r="D148" s="205">
        <v>2019</v>
      </c>
      <c r="E148" s="205" t="s">
        <v>390</v>
      </c>
      <c r="F148" s="204" t="s">
        <v>734</v>
      </c>
      <c r="G148" s="204" t="s">
        <v>735</v>
      </c>
      <c r="H148" s="204" t="s">
        <v>736</v>
      </c>
    </row>
    <row r="149" spans="1:8" ht="52" x14ac:dyDescent="0.15">
      <c r="A149" s="204" t="s">
        <v>737</v>
      </c>
      <c r="B149" s="205">
        <v>25</v>
      </c>
      <c r="C149" s="204" t="s">
        <v>395</v>
      </c>
      <c r="D149" s="205">
        <v>2019</v>
      </c>
      <c r="E149" s="205" t="s">
        <v>390</v>
      </c>
      <c r="F149" s="204" t="s">
        <v>734</v>
      </c>
      <c r="G149" s="204" t="s">
        <v>735</v>
      </c>
      <c r="H149" s="204" t="s">
        <v>736</v>
      </c>
    </row>
    <row r="150" spans="1:8" ht="26" x14ac:dyDescent="0.15">
      <c r="A150" s="204" t="s">
        <v>606</v>
      </c>
      <c r="B150" s="205">
        <v>21</v>
      </c>
      <c r="C150" s="204" t="s">
        <v>395</v>
      </c>
      <c r="D150" s="205">
        <v>2015</v>
      </c>
      <c r="E150" s="205" t="s">
        <v>390</v>
      </c>
      <c r="F150" s="204" t="s">
        <v>607</v>
      </c>
      <c r="G150" s="204" t="s">
        <v>608</v>
      </c>
      <c r="H150" s="204" t="s">
        <v>609</v>
      </c>
    </row>
    <row r="151" spans="1:8" ht="26" x14ac:dyDescent="0.15">
      <c r="A151" s="204" t="s">
        <v>638</v>
      </c>
      <c r="B151" s="205">
        <v>32</v>
      </c>
      <c r="C151" s="204" t="s">
        <v>395</v>
      </c>
      <c r="D151" s="205">
        <v>2015</v>
      </c>
      <c r="E151" s="205" t="s">
        <v>390</v>
      </c>
      <c r="F151" s="204" t="s">
        <v>639</v>
      </c>
      <c r="G151" s="204" t="s">
        <v>640</v>
      </c>
      <c r="H151" s="204" t="s">
        <v>609</v>
      </c>
    </row>
    <row r="152" spans="1:8" ht="13" x14ac:dyDescent="0.15">
      <c r="A152" s="204" t="s">
        <v>641</v>
      </c>
      <c r="B152" s="205">
        <v>23</v>
      </c>
      <c r="C152" s="204" t="s">
        <v>395</v>
      </c>
      <c r="D152" s="205" t="s">
        <v>585</v>
      </c>
      <c r="E152" s="205" t="s">
        <v>399</v>
      </c>
      <c r="F152" s="204" t="s">
        <v>600</v>
      </c>
      <c r="G152" s="204" t="s">
        <v>642</v>
      </c>
      <c r="H152" s="204" t="s">
        <v>609</v>
      </c>
    </row>
    <row r="153" spans="1:8" ht="26" x14ac:dyDescent="0.15">
      <c r="A153" s="204" t="s">
        <v>663</v>
      </c>
      <c r="B153" s="205">
        <v>23</v>
      </c>
      <c r="C153" s="204" t="s">
        <v>385</v>
      </c>
      <c r="D153" s="205" t="s">
        <v>585</v>
      </c>
      <c r="E153" s="205" t="s">
        <v>390</v>
      </c>
      <c r="F153" s="204" t="s">
        <v>664</v>
      </c>
      <c r="G153" s="204" t="s">
        <v>665</v>
      </c>
      <c r="H153" s="204" t="s">
        <v>609</v>
      </c>
    </row>
    <row r="154" spans="1:8" ht="26" x14ac:dyDescent="0.15">
      <c r="A154" s="204" t="s">
        <v>778</v>
      </c>
      <c r="B154" s="205">
        <v>43</v>
      </c>
      <c r="C154" s="204" t="s">
        <v>395</v>
      </c>
      <c r="D154" s="205" t="s">
        <v>585</v>
      </c>
      <c r="E154" s="205" t="s">
        <v>412</v>
      </c>
      <c r="F154" s="204" t="s">
        <v>779</v>
      </c>
      <c r="G154" s="204" t="s">
        <v>780</v>
      </c>
      <c r="H154" s="204" t="s">
        <v>609</v>
      </c>
    </row>
    <row r="155" spans="1:8" ht="13.5" customHeight="1" x14ac:dyDescent="0.15">
      <c r="A155" s="204" t="s">
        <v>794</v>
      </c>
      <c r="B155" s="205">
        <v>22</v>
      </c>
      <c r="C155" s="204" t="s">
        <v>385</v>
      </c>
      <c r="D155" s="205" t="s">
        <v>585</v>
      </c>
      <c r="E155" s="205" t="s">
        <v>412</v>
      </c>
      <c r="F155" s="204" t="s">
        <v>795</v>
      </c>
      <c r="G155" s="204" t="s">
        <v>796</v>
      </c>
      <c r="H155" s="204" t="s">
        <v>609</v>
      </c>
    </row>
    <row r="156" spans="1:8" ht="26" x14ac:dyDescent="0.15">
      <c r="A156" s="204" t="s">
        <v>835</v>
      </c>
      <c r="B156" s="205">
        <v>27</v>
      </c>
      <c r="C156" s="204" t="s">
        <v>395</v>
      </c>
      <c r="D156" s="205" t="s">
        <v>585</v>
      </c>
      <c r="E156" s="205" t="s">
        <v>412</v>
      </c>
      <c r="F156" s="204" t="s">
        <v>635</v>
      </c>
      <c r="G156" s="204" t="s">
        <v>836</v>
      </c>
      <c r="H156" s="204" t="s">
        <v>609</v>
      </c>
    </row>
    <row r="157" spans="1:8" ht="26" x14ac:dyDescent="0.15">
      <c r="A157" s="204" t="s">
        <v>837</v>
      </c>
      <c r="B157" s="205">
        <v>24</v>
      </c>
      <c r="C157" s="204" t="s">
        <v>395</v>
      </c>
      <c r="D157" s="205" t="s">
        <v>585</v>
      </c>
      <c r="E157" s="205" t="s">
        <v>412</v>
      </c>
      <c r="F157" s="204" t="s">
        <v>635</v>
      </c>
      <c r="G157" s="204" t="s">
        <v>836</v>
      </c>
      <c r="H157" s="204" t="s">
        <v>609</v>
      </c>
    </row>
    <row r="158" spans="1:8" ht="26" x14ac:dyDescent="0.15">
      <c r="A158" s="204" t="s">
        <v>850</v>
      </c>
      <c r="B158" s="205">
        <v>36</v>
      </c>
      <c r="C158" s="204" t="s">
        <v>395</v>
      </c>
      <c r="D158" s="205"/>
      <c r="E158" s="205" t="s">
        <v>399</v>
      </c>
      <c r="F158" s="204" t="s">
        <v>670</v>
      </c>
      <c r="G158" s="204" t="s">
        <v>851</v>
      </c>
      <c r="H158" s="204" t="s">
        <v>609</v>
      </c>
    </row>
    <row r="159" spans="1:8" ht="26" x14ac:dyDescent="0.15">
      <c r="A159" s="204" t="s">
        <v>852</v>
      </c>
      <c r="B159" s="205">
        <v>22</v>
      </c>
      <c r="C159" s="204" t="s">
        <v>395</v>
      </c>
      <c r="D159" s="205"/>
      <c r="E159" s="205" t="s">
        <v>399</v>
      </c>
      <c r="F159" s="204" t="s">
        <v>670</v>
      </c>
      <c r="G159" s="204" t="s">
        <v>851</v>
      </c>
      <c r="H159" s="204" t="s">
        <v>609</v>
      </c>
    </row>
    <row r="160" spans="1:8" ht="26" x14ac:dyDescent="0.15">
      <c r="A160" s="204" t="s">
        <v>875</v>
      </c>
      <c r="B160" s="205">
        <v>28</v>
      </c>
      <c r="C160" s="204" t="s">
        <v>591</v>
      </c>
      <c r="D160" s="205">
        <v>2017</v>
      </c>
      <c r="E160" s="205" t="s">
        <v>390</v>
      </c>
      <c r="F160" s="204" t="s">
        <v>644</v>
      </c>
      <c r="G160" s="204" t="s">
        <v>836</v>
      </c>
      <c r="H160" s="204" t="s">
        <v>609</v>
      </c>
    </row>
    <row r="161" spans="1:8" ht="26" x14ac:dyDescent="0.15">
      <c r="A161" s="204" t="s">
        <v>878</v>
      </c>
      <c r="B161" s="205">
        <v>50</v>
      </c>
      <c r="C161" s="204" t="s">
        <v>395</v>
      </c>
      <c r="D161" s="205"/>
      <c r="E161" s="205" t="s">
        <v>399</v>
      </c>
      <c r="F161" s="204" t="s">
        <v>879</v>
      </c>
      <c r="G161" s="204" t="s">
        <v>880</v>
      </c>
      <c r="H161" s="204" t="s">
        <v>609</v>
      </c>
    </row>
    <row r="162" spans="1:8" ht="26" x14ac:dyDescent="0.15">
      <c r="A162" s="204" t="s">
        <v>881</v>
      </c>
      <c r="B162" s="205">
        <v>24</v>
      </c>
      <c r="C162" s="204" t="s">
        <v>395</v>
      </c>
      <c r="D162" s="205"/>
      <c r="E162" s="205" t="s">
        <v>399</v>
      </c>
      <c r="F162" s="204" t="s">
        <v>879</v>
      </c>
      <c r="G162" s="204" t="s">
        <v>880</v>
      </c>
      <c r="H162" s="204" t="s">
        <v>609</v>
      </c>
    </row>
    <row r="163" spans="1:8" ht="26" x14ac:dyDescent="0.15">
      <c r="A163" s="204" t="s">
        <v>896</v>
      </c>
      <c r="B163" s="205">
        <v>37</v>
      </c>
      <c r="C163" s="204" t="s">
        <v>395</v>
      </c>
      <c r="D163" s="205">
        <v>2016</v>
      </c>
      <c r="E163" s="205" t="s">
        <v>412</v>
      </c>
      <c r="F163" s="204" t="s">
        <v>897</v>
      </c>
      <c r="G163" s="204" t="s">
        <v>898</v>
      </c>
      <c r="H163" s="204" t="s">
        <v>609</v>
      </c>
    </row>
    <row r="164" spans="1:8" ht="26" x14ac:dyDescent="0.15">
      <c r="A164" s="204" t="s">
        <v>899</v>
      </c>
      <c r="B164" s="205">
        <v>29</v>
      </c>
      <c r="C164" s="204" t="s">
        <v>395</v>
      </c>
      <c r="D164" s="205">
        <v>2016</v>
      </c>
      <c r="E164" s="205" t="s">
        <v>412</v>
      </c>
      <c r="F164" s="204" t="s">
        <v>897</v>
      </c>
      <c r="G164" s="204" t="s">
        <v>898</v>
      </c>
      <c r="H164" s="204" t="s">
        <v>609</v>
      </c>
    </row>
    <row r="165" spans="1:8" ht="26" x14ac:dyDescent="0.15">
      <c r="A165" s="204" t="s">
        <v>912</v>
      </c>
      <c r="B165" s="205">
        <v>58</v>
      </c>
      <c r="C165" s="204" t="s">
        <v>395</v>
      </c>
      <c r="D165" s="205" t="s">
        <v>585</v>
      </c>
      <c r="E165" s="205" t="s">
        <v>412</v>
      </c>
      <c r="F165" s="204" t="s">
        <v>658</v>
      </c>
      <c r="G165" s="204" t="s">
        <v>913</v>
      </c>
      <c r="H165" s="204" t="s">
        <v>609</v>
      </c>
    </row>
    <row r="166" spans="1:8" ht="26" x14ac:dyDescent="0.15">
      <c r="A166" s="204" t="s">
        <v>914</v>
      </c>
      <c r="B166" s="205">
        <v>43</v>
      </c>
      <c r="C166" s="204" t="s">
        <v>395</v>
      </c>
      <c r="D166" s="205" t="s">
        <v>585</v>
      </c>
      <c r="E166" s="205" t="s">
        <v>412</v>
      </c>
      <c r="F166" s="204" t="s">
        <v>658</v>
      </c>
      <c r="G166" s="204" t="s">
        <v>913</v>
      </c>
      <c r="H166" s="204" t="s">
        <v>609</v>
      </c>
    </row>
    <row r="167" spans="1:8" ht="26" x14ac:dyDescent="0.15">
      <c r="A167" s="204" t="s">
        <v>931</v>
      </c>
      <c r="B167" s="205">
        <v>27</v>
      </c>
      <c r="C167" s="204" t="s">
        <v>395</v>
      </c>
      <c r="D167" s="205" t="s">
        <v>585</v>
      </c>
      <c r="E167" s="205" t="s">
        <v>399</v>
      </c>
      <c r="F167" s="204" t="s">
        <v>932</v>
      </c>
      <c r="G167" s="204" t="s">
        <v>933</v>
      </c>
      <c r="H167" s="204" t="s">
        <v>609</v>
      </c>
    </row>
    <row r="168" spans="1:8" ht="13" x14ac:dyDescent="0.15">
      <c r="A168" s="204" t="s">
        <v>956</v>
      </c>
      <c r="B168" s="205">
        <v>28</v>
      </c>
      <c r="C168" s="204" t="s">
        <v>395</v>
      </c>
      <c r="D168" s="205" t="s">
        <v>585</v>
      </c>
      <c r="E168" s="205" t="s">
        <v>399</v>
      </c>
      <c r="F168" s="204" t="s">
        <v>604</v>
      </c>
      <c r="G168" s="204" t="s">
        <v>587</v>
      </c>
      <c r="H168" s="204" t="s">
        <v>609</v>
      </c>
    </row>
    <row r="169" spans="1:8" ht="13" x14ac:dyDescent="0.15">
      <c r="A169" s="204" t="s">
        <v>957</v>
      </c>
      <c r="B169" s="205">
        <v>37</v>
      </c>
      <c r="C169" s="204" t="s">
        <v>395</v>
      </c>
      <c r="D169" s="205" t="s">
        <v>585</v>
      </c>
      <c r="E169" s="205" t="s">
        <v>399</v>
      </c>
      <c r="F169" s="204" t="s">
        <v>604</v>
      </c>
      <c r="G169" s="204" t="s">
        <v>587</v>
      </c>
      <c r="H169" s="204" t="s">
        <v>609</v>
      </c>
    </row>
    <row r="170" spans="1:8" ht="13" x14ac:dyDescent="0.15">
      <c r="A170" s="204" t="s">
        <v>958</v>
      </c>
      <c r="B170" s="205">
        <v>30</v>
      </c>
      <c r="C170" s="204" t="s">
        <v>395</v>
      </c>
      <c r="D170" s="205" t="s">
        <v>585</v>
      </c>
      <c r="E170" s="205" t="s">
        <v>399</v>
      </c>
      <c r="F170" s="204" t="s">
        <v>604</v>
      </c>
      <c r="G170" s="204" t="s">
        <v>587</v>
      </c>
      <c r="H170" s="204" t="s">
        <v>609</v>
      </c>
    </row>
    <row r="171" spans="1:8" ht="13" x14ac:dyDescent="0.15">
      <c r="A171" s="204" t="s">
        <v>959</v>
      </c>
      <c r="B171" s="205">
        <v>21</v>
      </c>
      <c r="C171" s="204" t="s">
        <v>395</v>
      </c>
      <c r="D171" s="205" t="s">
        <v>585</v>
      </c>
      <c r="E171" s="205" t="s">
        <v>399</v>
      </c>
      <c r="F171" s="204" t="s">
        <v>604</v>
      </c>
      <c r="G171" s="204" t="s">
        <v>587</v>
      </c>
      <c r="H171" s="204" t="s">
        <v>609</v>
      </c>
    </row>
    <row r="172" spans="1:8" ht="26" x14ac:dyDescent="0.15">
      <c r="A172" s="204" t="s">
        <v>369</v>
      </c>
      <c r="B172" s="205">
        <v>53</v>
      </c>
      <c r="C172" s="204" t="s">
        <v>395</v>
      </c>
      <c r="D172" s="205">
        <v>2014</v>
      </c>
      <c r="E172" s="205" t="s">
        <v>390</v>
      </c>
      <c r="F172" s="204" t="s">
        <v>731</v>
      </c>
      <c r="G172" s="204" t="s">
        <v>904</v>
      </c>
      <c r="H172" s="204" t="s">
        <v>609</v>
      </c>
    </row>
    <row r="173" spans="1:8" ht="13" x14ac:dyDescent="0.15">
      <c r="A173" s="204" t="s">
        <v>1028</v>
      </c>
      <c r="B173" s="205">
        <v>41</v>
      </c>
      <c r="C173" s="204" t="s">
        <v>395</v>
      </c>
      <c r="D173" s="205" t="s">
        <v>585</v>
      </c>
      <c r="E173" s="205" t="s">
        <v>412</v>
      </c>
      <c r="F173" s="204" t="s">
        <v>604</v>
      </c>
      <c r="G173" s="204" t="s">
        <v>1029</v>
      </c>
      <c r="H173" s="204" t="s">
        <v>609</v>
      </c>
    </row>
    <row r="174" spans="1:8" ht="13" x14ac:dyDescent="0.15">
      <c r="A174" s="204" t="s">
        <v>1030</v>
      </c>
      <c r="B174" s="205">
        <v>31</v>
      </c>
      <c r="C174" s="204" t="s">
        <v>395</v>
      </c>
      <c r="D174" s="205" t="s">
        <v>585</v>
      </c>
      <c r="E174" s="205" t="s">
        <v>412</v>
      </c>
      <c r="F174" s="204" t="s">
        <v>604</v>
      </c>
      <c r="G174" s="204" t="s">
        <v>1029</v>
      </c>
      <c r="H174" s="204" t="s">
        <v>609</v>
      </c>
    </row>
    <row r="175" spans="1:8" ht="39" customHeight="1" x14ac:dyDescent="0.15">
      <c r="A175" s="204" t="s">
        <v>1031</v>
      </c>
      <c r="B175" s="205">
        <v>36</v>
      </c>
      <c r="C175" s="204" t="s">
        <v>395</v>
      </c>
      <c r="D175" s="205" t="s">
        <v>585</v>
      </c>
      <c r="E175" s="205" t="s">
        <v>399</v>
      </c>
      <c r="F175" s="204" t="s">
        <v>1032</v>
      </c>
      <c r="G175" s="204" t="s">
        <v>1033</v>
      </c>
      <c r="H175" s="204" t="s">
        <v>609</v>
      </c>
    </row>
    <row r="176" spans="1:8" ht="39" customHeight="1" x14ac:dyDescent="0.15">
      <c r="A176" s="204" t="s">
        <v>1034</v>
      </c>
      <c r="B176" s="205">
        <v>26</v>
      </c>
      <c r="C176" s="204" t="s">
        <v>395</v>
      </c>
      <c r="D176" s="205">
        <v>2018</v>
      </c>
      <c r="E176" s="205" t="s">
        <v>412</v>
      </c>
      <c r="F176" s="204" t="s">
        <v>670</v>
      </c>
      <c r="G176" s="204" t="s">
        <v>1035</v>
      </c>
      <c r="H176" s="204" t="s">
        <v>609</v>
      </c>
    </row>
    <row r="177" spans="1:8" ht="13" x14ac:dyDescent="0.15">
      <c r="A177" s="204" t="s">
        <v>1036</v>
      </c>
      <c r="B177" s="205">
        <v>50</v>
      </c>
      <c r="C177" s="204" t="s">
        <v>395</v>
      </c>
      <c r="D177" s="205">
        <v>2018</v>
      </c>
      <c r="E177" s="205" t="s">
        <v>412</v>
      </c>
      <c r="F177" s="204" t="s">
        <v>670</v>
      </c>
      <c r="G177" s="204" t="s">
        <v>1035</v>
      </c>
      <c r="H177" s="204" t="s">
        <v>609</v>
      </c>
    </row>
    <row r="178" spans="1:8" ht="39" customHeight="1" x14ac:dyDescent="0.15">
      <c r="A178" s="204" t="s">
        <v>1037</v>
      </c>
      <c r="B178" s="205">
        <v>50</v>
      </c>
      <c r="C178" s="204" t="s">
        <v>395</v>
      </c>
      <c r="D178" s="205">
        <v>2018</v>
      </c>
      <c r="E178" s="205" t="s">
        <v>412</v>
      </c>
      <c r="F178" s="204" t="s">
        <v>670</v>
      </c>
      <c r="G178" s="204" t="s">
        <v>1035</v>
      </c>
      <c r="H178" s="204" t="s">
        <v>609</v>
      </c>
    </row>
    <row r="179" spans="1:8" ht="13" x14ac:dyDescent="0.15">
      <c r="A179" s="204" t="s">
        <v>1038</v>
      </c>
      <c r="B179" s="205">
        <v>21</v>
      </c>
      <c r="C179" s="204" t="s">
        <v>395</v>
      </c>
      <c r="D179" s="205" t="s">
        <v>585</v>
      </c>
      <c r="E179" s="205" t="s">
        <v>412</v>
      </c>
      <c r="F179" s="204" t="s">
        <v>670</v>
      </c>
      <c r="G179" s="204" t="s">
        <v>1035</v>
      </c>
      <c r="H179" s="204" t="s">
        <v>609</v>
      </c>
    </row>
    <row r="180" spans="1:8" ht="26" x14ac:dyDescent="0.15">
      <c r="A180" s="204" t="s">
        <v>1041</v>
      </c>
      <c r="B180" s="205">
        <v>20</v>
      </c>
      <c r="C180" s="204" t="s">
        <v>395</v>
      </c>
      <c r="D180" s="205">
        <v>2015</v>
      </c>
      <c r="E180" s="205" t="s">
        <v>390</v>
      </c>
      <c r="F180" s="204" t="s">
        <v>858</v>
      </c>
      <c r="G180" s="204" t="s">
        <v>1042</v>
      </c>
      <c r="H180" s="204" t="s">
        <v>609</v>
      </c>
    </row>
    <row r="181" spans="1:8" ht="13" x14ac:dyDescent="0.15">
      <c r="A181" s="204" t="s">
        <v>751</v>
      </c>
      <c r="B181" s="205">
        <v>48</v>
      </c>
      <c r="C181" s="204" t="s">
        <v>395</v>
      </c>
      <c r="D181" s="205" t="s">
        <v>585</v>
      </c>
      <c r="E181" s="205" t="s">
        <v>399</v>
      </c>
      <c r="F181" s="204" t="s">
        <v>734</v>
      </c>
      <c r="G181" s="204" t="s">
        <v>752</v>
      </c>
      <c r="H181" s="204" t="s">
        <v>753</v>
      </c>
    </row>
    <row r="182" spans="1:8" ht="13" x14ac:dyDescent="0.15">
      <c r="A182" s="204" t="s">
        <v>754</v>
      </c>
      <c r="B182" s="205">
        <v>32</v>
      </c>
      <c r="C182" s="204" t="s">
        <v>395</v>
      </c>
      <c r="D182" s="205" t="s">
        <v>585</v>
      </c>
      <c r="E182" s="205" t="s">
        <v>399</v>
      </c>
      <c r="F182" s="204" t="s">
        <v>734</v>
      </c>
      <c r="G182" s="204" t="s">
        <v>752</v>
      </c>
      <c r="H182" s="204" t="s">
        <v>753</v>
      </c>
    </row>
    <row r="183" spans="1:8" ht="13" x14ac:dyDescent="0.15">
      <c r="A183" s="204" t="s">
        <v>755</v>
      </c>
      <c r="B183" s="205">
        <v>26</v>
      </c>
      <c r="C183" s="204" t="s">
        <v>395</v>
      </c>
      <c r="D183" s="205" t="s">
        <v>585</v>
      </c>
      <c r="E183" s="205" t="s">
        <v>399</v>
      </c>
      <c r="F183" s="204" t="s">
        <v>734</v>
      </c>
      <c r="G183" s="204" t="s">
        <v>752</v>
      </c>
      <c r="H183" s="204" t="s">
        <v>753</v>
      </c>
    </row>
    <row r="184" spans="1:8" ht="39" customHeight="1" x14ac:dyDescent="0.15">
      <c r="A184" s="204" t="s">
        <v>857</v>
      </c>
      <c r="B184" s="205">
        <v>22</v>
      </c>
      <c r="C184" s="204" t="s">
        <v>591</v>
      </c>
      <c r="D184" s="205"/>
      <c r="E184" s="205" t="s">
        <v>412</v>
      </c>
      <c r="F184" s="204" t="s">
        <v>858</v>
      </c>
      <c r="G184" s="204" t="s">
        <v>859</v>
      </c>
      <c r="H184" s="204" t="s">
        <v>753</v>
      </c>
    </row>
    <row r="185" spans="1:8" ht="39" x14ac:dyDescent="0.15">
      <c r="A185" s="204" t="s">
        <v>975</v>
      </c>
      <c r="B185" s="205">
        <v>22</v>
      </c>
      <c r="C185" s="204" t="s">
        <v>395</v>
      </c>
      <c r="D185" s="205"/>
      <c r="E185" s="205" t="s">
        <v>412</v>
      </c>
      <c r="F185" s="204" t="s">
        <v>976</v>
      </c>
      <c r="G185" s="204" t="s">
        <v>977</v>
      </c>
      <c r="H185" s="204" t="s">
        <v>753</v>
      </c>
    </row>
    <row r="186" spans="1:8" ht="39" x14ac:dyDescent="0.15">
      <c r="A186" s="204" t="s">
        <v>978</v>
      </c>
      <c r="B186" s="205">
        <v>27</v>
      </c>
      <c r="C186" s="204" t="s">
        <v>395</v>
      </c>
      <c r="D186" s="205"/>
      <c r="E186" s="205" t="s">
        <v>412</v>
      </c>
      <c r="F186" s="204" t="s">
        <v>976</v>
      </c>
      <c r="G186" s="204" t="s">
        <v>977</v>
      </c>
      <c r="H186" s="204" t="s">
        <v>753</v>
      </c>
    </row>
    <row r="187" spans="1:8" ht="39" x14ac:dyDescent="0.15">
      <c r="A187" s="204" t="s">
        <v>979</v>
      </c>
      <c r="B187" s="205">
        <v>21</v>
      </c>
      <c r="C187" s="204" t="s">
        <v>395</v>
      </c>
      <c r="D187" s="205"/>
      <c r="E187" s="205" t="s">
        <v>412</v>
      </c>
      <c r="F187" s="204" t="s">
        <v>976</v>
      </c>
      <c r="G187" s="204" t="s">
        <v>977</v>
      </c>
      <c r="H187" s="204" t="s">
        <v>753</v>
      </c>
    </row>
    <row r="188" spans="1:8" ht="39" x14ac:dyDescent="0.15">
      <c r="A188" s="204" t="s">
        <v>980</v>
      </c>
      <c r="B188" s="205">
        <v>21</v>
      </c>
      <c r="C188" s="204" t="s">
        <v>395</v>
      </c>
      <c r="D188" s="205"/>
      <c r="E188" s="205" t="s">
        <v>412</v>
      </c>
      <c r="F188" s="204" t="s">
        <v>976</v>
      </c>
      <c r="G188" s="204" t="s">
        <v>977</v>
      </c>
      <c r="H188" s="204" t="s">
        <v>753</v>
      </c>
    </row>
    <row r="189" spans="1:8" ht="13" x14ac:dyDescent="0.15">
      <c r="A189" s="204" t="s">
        <v>610</v>
      </c>
      <c r="B189" s="205">
        <v>35</v>
      </c>
      <c r="C189" s="204" t="s">
        <v>395</v>
      </c>
      <c r="D189" s="205" t="s">
        <v>585</v>
      </c>
      <c r="E189" s="205" t="s">
        <v>412</v>
      </c>
      <c r="F189" s="204" t="s">
        <v>611</v>
      </c>
      <c r="G189" s="204" t="s">
        <v>522</v>
      </c>
      <c r="H189" s="204" t="s">
        <v>612</v>
      </c>
    </row>
    <row r="190" spans="1:8" ht="13" x14ac:dyDescent="0.15">
      <c r="A190" s="204" t="s">
        <v>621</v>
      </c>
      <c r="B190" s="205">
        <v>35</v>
      </c>
      <c r="C190" s="204" t="s">
        <v>395</v>
      </c>
      <c r="D190" s="205" t="s">
        <v>585</v>
      </c>
      <c r="E190" s="205" t="s">
        <v>412</v>
      </c>
      <c r="F190" s="204" t="s">
        <v>622</v>
      </c>
      <c r="G190" s="204" t="s">
        <v>623</v>
      </c>
      <c r="H190" s="204" t="s">
        <v>612</v>
      </c>
    </row>
    <row r="191" spans="1:8" ht="13" x14ac:dyDescent="0.15">
      <c r="A191" s="204" t="s">
        <v>624</v>
      </c>
      <c r="B191" s="205">
        <v>25</v>
      </c>
      <c r="C191" s="204" t="s">
        <v>395</v>
      </c>
      <c r="D191" s="205" t="s">
        <v>585</v>
      </c>
      <c r="E191" s="205" t="s">
        <v>412</v>
      </c>
      <c r="F191" s="204" t="s">
        <v>625</v>
      </c>
      <c r="G191" s="204" t="s">
        <v>626</v>
      </c>
      <c r="H191" s="204" t="s">
        <v>612</v>
      </c>
    </row>
    <row r="192" spans="1:8" ht="13" x14ac:dyDescent="0.15">
      <c r="A192" s="204" t="s">
        <v>713</v>
      </c>
      <c r="B192" s="205">
        <v>39</v>
      </c>
      <c r="C192" s="204" t="s">
        <v>395</v>
      </c>
      <c r="D192" s="205" t="s">
        <v>585</v>
      </c>
      <c r="E192" s="205" t="s">
        <v>412</v>
      </c>
      <c r="F192" s="204" t="s">
        <v>670</v>
      </c>
      <c r="G192" s="204" t="s">
        <v>714</v>
      </c>
      <c r="H192" s="204" t="s">
        <v>612</v>
      </c>
    </row>
    <row r="193" spans="1:8" ht="13.5" customHeight="1" x14ac:dyDescent="0.15">
      <c r="A193" s="204" t="s">
        <v>715</v>
      </c>
      <c r="B193" s="205">
        <v>20</v>
      </c>
      <c r="C193" s="204" t="s">
        <v>395</v>
      </c>
      <c r="D193" s="205"/>
      <c r="E193" s="205" t="s">
        <v>412</v>
      </c>
      <c r="F193" s="204" t="s">
        <v>670</v>
      </c>
      <c r="G193" s="204" t="s">
        <v>716</v>
      </c>
      <c r="H193" s="204" t="s">
        <v>612</v>
      </c>
    </row>
    <row r="194" spans="1:8" ht="13" x14ac:dyDescent="0.15">
      <c r="A194" s="204" t="s">
        <v>762</v>
      </c>
      <c r="B194" s="205">
        <v>23</v>
      </c>
      <c r="C194" s="204" t="s">
        <v>395</v>
      </c>
      <c r="D194" s="205" t="s">
        <v>585</v>
      </c>
      <c r="E194" s="205" t="s">
        <v>412</v>
      </c>
      <c r="F194" s="204" t="s">
        <v>670</v>
      </c>
      <c r="G194" s="204" t="s">
        <v>763</v>
      </c>
      <c r="H194" s="204" t="s">
        <v>612</v>
      </c>
    </row>
    <row r="195" spans="1:8" ht="13" x14ac:dyDescent="0.15">
      <c r="A195" s="204" t="s">
        <v>764</v>
      </c>
      <c r="B195" s="205">
        <v>24</v>
      </c>
      <c r="C195" s="204" t="s">
        <v>395</v>
      </c>
      <c r="D195" s="205" t="s">
        <v>585</v>
      </c>
      <c r="E195" s="205" t="s">
        <v>412</v>
      </c>
      <c r="F195" s="204" t="s">
        <v>670</v>
      </c>
      <c r="G195" s="204" t="s">
        <v>763</v>
      </c>
      <c r="H195" s="204" t="s">
        <v>612</v>
      </c>
    </row>
    <row r="196" spans="1:8" ht="13" x14ac:dyDescent="0.15">
      <c r="A196" s="204" t="s">
        <v>765</v>
      </c>
      <c r="B196" s="205">
        <v>24</v>
      </c>
      <c r="C196" s="204" t="s">
        <v>395</v>
      </c>
      <c r="D196" s="205" t="s">
        <v>585</v>
      </c>
      <c r="E196" s="205" t="s">
        <v>399</v>
      </c>
      <c r="F196" s="204" t="s">
        <v>670</v>
      </c>
      <c r="G196" s="204" t="s">
        <v>763</v>
      </c>
      <c r="H196" s="204" t="s">
        <v>612</v>
      </c>
    </row>
    <row r="197" spans="1:8" ht="13.5" customHeight="1" x14ac:dyDescent="0.15">
      <c r="A197" s="204" t="s">
        <v>799</v>
      </c>
      <c r="B197" s="205">
        <v>22</v>
      </c>
      <c r="C197" s="204" t="s">
        <v>385</v>
      </c>
      <c r="D197" s="205" t="s">
        <v>585</v>
      </c>
      <c r="E197" s="205" t="s">
        <v>412</v>
      </c>
      <c r="F197" s="204" t="s">
        <v>800</v>
      </c>
      <c r="G197" s="204" t="s">
        <v>801</v>
      </c>
      <c r="H197" s="204" t="s">
        <v>612</v>
      </c>
    </row>
    <row r="198" spans="1:8" ht="13.5" customHeight="1" x14ac:dyDescent="0.15">
      <c r="A198" s="204" t="s">
        <v>812</v>
      </c>
      <c r="B198" s="205">
        <v>30</v>
      </c>
      <c r="C198" s="204" t="s">
        <v>395</v>
      </c>
      <c r="D198" s="205"/>
      <c r="E198" s="205" t="s">
        <v>399</v>
      </c>
      <c r="F198" s="204" t="s">
        <v>670</v>
      </c>
      <c r="G198" s="204" t="s">
        <v>813</v>
      </c>
      <c r="H198" s="204" t="s">
        <v>612</v>
      </c>
    </row>
    <row r="199" spans="1:8" ht="13.5" customHeight="1" x14ac:dyDescent="0.15">
      <c r="A199" s="204" t="s">
        <v>814</v>
      </c>
      <c r="B199" s="205">
        <v>30</v>
      </c>
      <c r="C199" s="204" t="s">
        <v>395</v>
      </c>
      <c r="D199" s="205"/>
      <c r="E199" s="205" t="s">
        <v>399</v>
      </c>
      <c r="F199" s="204" t="s">
        <v>670</v>
      </c>
      <c r="G199" s="204" t="s">
        <v>813</v>
      </c>
      <c r="H199" s="204" t="s">
        <v>612</v>
      </c>
    </row>
    <row r="200" spans="1:8" ht="13.5" customHeight="1" x14ac:dyDescent="0.15">
      <c r="A200" s="204" t="s">
        <v>867</v>
      </c>
      <c r="B200" s="205">
        <v>43</v>
      </c>
      <c r="C200" s="204" t="s">
        <v>395</v>
      </c>
      <c r="D200" s="205" t="s">
        <v>585</v>
      </c>
      <c r="E200" s="205" t="s">
        <v>412</v>
      </c>
      <c r="F200" s="204" t="s">
        <v>686</v>
      </c>
      <c r="G200" s="204" t="s">
        <v>868</v>
      </c>
      <c r="H200" s="204" t="s">
        <v>612</v>
      </c>
    </row>
    <row r="201" spans="1:8" ht="13.5" customHeight="1" x14ac:dyDescent="0.15">
      <c r="A201" s="204" t="s">
        <v>970</v>
      </c>
      <c r="B201" s="205">
        <v>26</v>
      </c>
      <c r="C201" s="204" t="s">
        <v>395</v>
      </c>
      <c r="D201" s="205">
        <v>2014</v>
      </c>
      <c r="E201" s="205" t="s">
        <v>390</v>
      </c>
      <c r="F201" s="204" t="s">
        <v>971</v>
      </c>
      <c r="G201" s="204" t="s">
        <v>522</v>
      </c>
      <c r="H201" s="204" t="s">
        <v>612</v>
      </c>
    </row>
    <row r="202" spans="1:8" ht="13.5" customHeight="1" x14ac:dyDescent="0.15">
      <c r="A202" s="204" t="s">
        <v>972</v>
      </c>
      <c r="B202" s="205">
        <v>26</v>
      </c>
      <c r="C202" s="204" t="s">
        <v>395</v>
      </c>
      <c r="D202" s="205"/>
      <c r="E202" s="205" t="s">
        <v>399</v>
      </c>
      <c r="F202" s="204" t="s">
        <v>973</v>
      </c>
      <c r="G202" s="204" t="s">
        <v>974</v>
      </c>
      <c r="H202" s="204" t="s">
        <v>612</v>
      </c>
    </row>
    <row r="203" spans="1:8" ht="13.5" customHeight="1" x14ac:dyDescent="0.15">
      <c r="A203" s="204" t="s">
        <v>1003</v>
      </c>
      <c r="B203" s="205">
        <v>24</v>
      </c>
      <c r="C203" s="204" t="s">
        <v>395</v>
      </c>
      <c r="D203" s="205">
        <v>2014</v>
      </c>
      <c r="E203" s="205" t="s">
        <v>390</v>
      </c>
      <c r="F203" s="204" t="s">
        <v>1004</v>
      </c>
      <c r="G203" s="204"/>
      <c r="H203" s="204" t="s">
        <v>612</v>
      </c>
    </row>
    <row r="204" spans="1:8" ht="13.5" customHeight="1" x14ac:dyDescent="0.15">
      <c r="A204" s="204" t="s">
        <v>1025</v>
      </c>
      <c r="B204" s="205">
        <v>28</v>
      </c>
      <c r="C204" s="204" t="s">
        <v>395</v>
      </c>
      <c r="D204" s="205">
        <v>2014</v>
      </c>
      <c r="E204" s="205" t="s">
        <v>390</v>
      </c>
      <c r="F204" s="204" t="s">
        <v>1026</v>
      </c>
      <c r="G204" s="204" t="s">
        <v>1027</v>
      </c>
      <c r="H204" s="204" t="s">
        <v>612</v>
      </c>
    </row>
    <row r="205" spans="1:8" ht="13" x14ac:dyDescent="0.15">
      <c r="A205" s="204" t="s">
        <v>613</v>
      </c>
      <c r="B205" s="205">
        <v>23</v>
      </c>
      <c r="C205" s="204" t="s">
        <v>385</v>
      </c>
      <c r="D205" s="205" t="s">
        <v>585</v>
      </c>
      <c r="E205" s="205" t="s">
        <v>412</v>
      </c>
      <c r="F205" s="204" t="s">
        <v>614</v>
      </c>
      <c r="G205" s="204" t="s">
        <v>615</v>
      </c>
      <c r="H205" s="204" t="s">
        <v>616</v>
      </c>
    </row>
    <row r="206" spans="1:8" ht="13" x14ac:dyDescent="0.15">
      <c r="A206" s="204" t="s">
        <v>617</v>
      </c>
      <c r="B206" s="205">
        <v>42</v>
      </c>
      <c r="C206" s="204" t="s">
        <v>395</v>
      </c>
      <c r="D206" s="205" t="s">
        <v>585</v>
      </c>
      <c r="E206" s="205" t="s">
        <v>412</v>
      </c>
      <c r="F206" s="204" t="s">
        <v>614</v>
      </c>
      <c r="G206" s="204" t="s">
        <v>615</v>
      </c>
      <c r="H206" s="204" t="s">
        <v>616</v>
      </c>
    </row>
    <row r="207" spans="1:8" ht="39" x14ac:dyDescent="0.15">
      <c r="A207" s="204" t="s">
        <v>627</v>
      </c>
      <c r="B207" s="205">
        <v>20</v>
      </c>
      <c r="C207" s="204" t="s">
        <v>385</v>
      </c>
      <c r="D207" s="205">
        <v>2014</v>
      </c>
      <c r="E207" s="205" t="s">
        <v>390</v>
      </c>
      <c r="F207" s="204" t="s">
        <v>628</v>
      </c>
      <c r="G207" s="204" t="s">
        <v>629</v>
      </c>
      <c r="H207" s="204" t="s">
        <v>616</v>
      </c>
    </row>
    <row r="208" spans="1:8" ht="26" x14ac:dyDescent="0.15">
      <c r="A208" s="204" t="s">
        <v>643</v>
      </c>
      <c r="B208" s="205">
        <v>45</v>
      </c>
      <c r="C208" s="204" t="s">
        <v>591</v>
      </c>
      <c r="D208" s="205"/>
      <c r="E208" s="205" t="s">
        <v>412</v>
      </c>
      <c r="F208" s="204" t="s">
        <v>644</v>
      </c>
      <c r="G208" s="204" t="s">
        <v>645</v>
      </c>
      <c r="H208" s="204" t="s">
        <v>616</v>
      </c>
    </row>
    <row r="209" spans="1:8" ht="26" x14ac:dyDescent="0.15">
      <c r="A209" s="204" t="s">
        <v>774</v>
      </c>
      <c r="B209" s="205">
        <v>40</v>
      </c>
      <c r="C209" s="204" t="s">
        <v>395</v>
      </c>
      <c r="D209" s="205"/>
      <c r="E209" s="205" t="s">
        <v>399</v>
      </c>
      <c r="F209" s="204" t="s">
        <v>775</v>
      </c>
      <c r="G209" s="204" t="s">
        <v>776</v>
      </c>
      <c r="H209" s="204" t="s">
        <v>616</v>
      </c>
    </row>
    <row r="210" spans="1:8" ht="26" x14ac:dyDescent="0.15">
      <c r="A210" s="204" t="s">
        <v>792</v>
      </c>
      <c r="B210" s="205">
        <v>41</v>
      </c>
      <c r="C210" s="204" t="s">
        <v>395</v>
      </c>
      <c r="D210" s="205">
        <v>2017</v>
      </c>
      <c r="E210" s="205" t="s">
        <v>390</v>
      </c>
      <c r="F210" s="204" t="s">
        <v>670</v>
      </c>
      <c r="G210" s="204" t="s">
        <v>793</v>
      </c>
      <c r="H210" s="204" t="s">
        <v>616</v>
      </c>
    </row>
    <row r="211" spans="1:8" ht="26" x14ac:dyDescent="0.15">
      <c r="A211" s="204" t="s">
        <v>797</v>
      </c>
      <c r="B211" s="205">
        <v>27</v>
      </c>
      <c r="C211" s="204" t="s">
        <v>395</v>
      </c>
      <c r="D211" s="205"/>
      <c r="E211" s="205" t="s">
        <v>399</v>
      </c>
      <c r="F211" s="204" t="s">
        <v>798</v>
      </c>
      <c r="G211" s="204" t="s">
        <v>776</v>
      </c>
      <c r="H211" s="204" t="s">
        <v>616</v>
      </c>
    </row>
    <row r="212" spans="1:8" ht="13" x14ac:dyDescent="0.15">
      <c r="A212" s="204" t="s">
        <v>809</v>
      </c>
      <c r="B212" s="205">
        <v>25</v>
      </c>
      <c r="C212" s="204" t="s">
        <v>395</v>
      </c>
      <c r="D212" s="205" t="s">
        <v>585</v>
      </c>
      <c r="E212" s="205" t="s">
        <v>399</v>
      </c>
      <c r="F212" s="204" t="s">
        <v>810</v>
      </c>
      <c r="G212" s="204" t="s">
        <v>811</v>
      </c>
      <c r="H212" s="204" t="s">
        <v>616</v>
      </c>
    </row>
    <row r="213" spans="1:8" ht="39" x14ac:dyDescent="0.15">
      <c r="A213" s="204" t="s">
        <v>853</v>
      </c>
      <c r="B213" s="205">
        <v>41</v>
      </c>
      <c r="C213" s="204" t="s">
        <v>591</v>
      </c>
      <c r="D213" s="205">
        <v>2015</v>
      </c>
      <c r="E213" s="205" t="s">
        <v>390</v>
      </c>
      <c r="F213" s="204" t="s">
        <v>658</v>
      </c>
      <c r="G213" s="204" t="s">
        <v>854</v>
      </c>
      <c r="H213" s="204" t="s">
        <v>616</v>
      </c>
    </row>
    <row r="214" spans="1:8" ht="13.5" customHeight="1" x14ac:dyDescent="0.15">
      <c r="A214" s="204" t="s">
        <v>903</v>
      </c>
      <c r="B214" s="205">
        <v>50</v>
      </c>
      <c r="C214" s="204" t="s">
        <v>395</v>
      </c>
      <c r="D214" s="205">
        <v>2016</v>
      </c>
      <c r="E214" s="205" t="s">
        <v>390</v>
      </c>
      <c r="F214" s="204" t="s">
        <v>589</v>
      </c>
      <c r="G214" s="204" t="s">
        <v>904</v>
      </c>
      <c r="H214" s="204" t="s">
        <v>616</v>
      </c>
    </row>
    <row r="215" spans="1:8" ht="26" x14ac:dyDescent="0.15">
      <c r="A215" s="204" t="s">
        <v>915</v>
      </c>
      <c r="B215" s="205">
        <v>37</v>
      </c>
      <c r="C215" s="204" t="s">
        <v>395</v>
      </c>
      <c r="D215" s="205">
        <v>2015</v>
      </c>
      <c r="E215" s="205" t="s">
        <v>390</v>
      </c>
      <c r="F215" s="204" t="s">
        <v>604</v>
      </c>
      <c r="G215" s="204" t="s">
        <v>916</v>
      </c>
      <c r="H215" s="204" t="s">
        <v>616</v>
      </c>
    </row>
    <row r="216" spans="1:8" ht="26" x14ac:dyDescent="0.15">
      <c r="A216" s="204" t="s">
        <v>917</v>
      </c>
      <c r="B216" s="205">
        <v>21</v>
      </c>
      <c r="C216" s="204" t="s">
        <v>395</v>
      </c>
      <c r="D216" s="205">
        <v>2016</v>
      </c>
      <c r="E216" s="205" t="s">
        <v>390</v>
      </c>
      <c r="F216" s="204" t="s">
        <v>604</v>
      </c>
      <c r="G216" s="204" t="s">
        <v>918</v>
      </c>
      <c r="H216" s="204" t="s">
        <v>616</v>
      </c>
    </row>
    <row r="217" spans="1:8" ht="26" x14ac:dyDescent="0.15">
      <c r="A217" s="204" t="s">
        <v>952</v>
      </c>
      <c r="B217" s="205">
        <v>48</v>
      </c>
      <c r="C217" s="204" t="s">
        <v>591</v>
      </c>
      <c r="D217" s="205"/>
      <c r="E217" s="205" t="s">
        <v>399</v>
      </c>
      <c r="F217" s="204" t="s">
        <v>803</v>
      </c>
      <c r="G217" s="204" t="s">
        <v>953</v>
      </c>
      <c r="H217" s="204" t="s">
        <v>616</v>
      </c>
    </row>
    <row r="218" spans="1:8" ht="26" x14ac:dyDescent="0.15">
      <c r="A218" s="204" t="s">
        <v>954</v>
      </c>
      <c r="B218" s="205">
        <v>31</v>
      </c>
      <c r="C218" s="204" t="s">
        <v>591</v>
      </c>
      <c r="D218" s="205" t="s">
        <v>585</v>
      </c>
      <c r="E218" s="205" t="s">
        <v>399</v>
      </c>
      <c r="F218" s="204" t="s">
        <v>803</v>
      </c>
      <c r="G218" s="204" t="s">
        <v>953</v>
      </c>
      <c r="H218" s="204" t="s">
        <v>616</v>
      </c>
    </row>
    <row r="219" spans="1:8" ht="26" x14ac:dyDescent="0.15">
      <c r="A219" s="204" t="s">
        <v>955</v>
      </c>
      <c r="B219" s="205">
        <v>27</v>
      </c>
      <c r="C219" s="204" t="s">
        <v>591</v>
      </c>
      <c r="D219" s="205"/>
      <c r="E219" s="205" t="s">
        <v>399</v>
      </c>
      <c r="F219" s="204" t="s">
        <v>803</v>
      </c>
      <c r="G219" s="204" t="s">
        <v>953</v>
      </c>
      <c r="H219" s="204" t="s">
        <v>616</v>
      </c>
    </row>
    <row r="220" spans="1:8" ht="13" x14ac:dyDescent="0.15">
      <c r="A220" s="204" t="s">
        <v>960</v>
      </c>
      <c r="B220" s="205">
        <v>23</v>
      </c>
      <c r="C220" s="204" t="s">
        <v>395</v>
      </c>
      <c r="D220" s="205"/>
      <c r="E220" s="205" t="s">
        <v>399</v>
      </c>
      <c r="F220" s="204" t="s">
        <v>961</v>
      </c>
      <c r="G220" s="204" t="s">
        <v>962</v>
      </c>
      <c r="H220" s="204" t="s">
        <v>616</v>
      </c>
    </row>
    <row r="221" spans="1:8" ht="13" x14ac:dyDescent="0.15">
      <c r="A221" s="204" t="s">
        <v>990</v>
      </c>
      <c r="B221" s="205">
        <v>41</v>
      </c>
      <c r="C221" s="204" t="s">
        <v>395</v>
      </c>
      <c r="D221" s="205"/>
      <c r="E221" s="205" t="s">
        <v>399</v>
      </c>
      <c r="F221" s="204" t="s">
        <v>991</v>
      </c>
      <c r="G221" s="204" t="s">
        <v>992</v>
      </c>
      <c r="H221" s="204" t="s">
        <v>616</v>
      </c>
    </row>
    <row r="222" spans="1:8" ht="26" x14ac:dyDescent="0.15">
      <c r="A222" s="204" t="s">
        <v>1005</v>
      </c>
      <c r="B222" s="205">
        <v>31</v>
      </c>
      <c r="C222" s="204" t="s">
        <v>395</v>
      </c>
      <c r="D222" s="205">
        <v>2015</v>
      </c>
      <c r="E222" s="205" t="s">
        <v>412</v>
      </c>
      <c r="F222" s="204" t="s">
        <v>1006</v>
      </c>
      <c r="G222" s="204" t="s">
        <v>1007</v>
      </c>
      <c r="H222" s="204" t="s">
        <v>616</v>
      </c>
    </row>
    <row r="223" spans="1:8" ht="13.5" customHeight="1" x14ac:dyDescent="0.15">
      <c r="A223" s="204" t="s">
        <v>1008</v>
      </c>
      <c r="B223" s="205">
        <v>22</v>
      </c>
      <c r="C223" s="204" t="s">
        <v>395</v>
      </c>
      <c r="D223" s="205"/>
      <c r="E223" s="205" t="s">
        <v>412</v>
      </c>
      <c r="F223" s="204" t="s">
        <v>670</v>
      </c>
      <c r="G223" s="204" t="s">
        <v>1009</v>
      </c>
      <c r="H223" s="204" t="s">
        <v>616</v>
      </c>
    </row>
    <row r="224" spans="1:8" ht="26" x14ac:dyDescent="0.15">
      <c r="A224" s="204" t="s">
        <v>1020</v>
      </c>
      <c r="B224" s="205">
        <v>23</v>
      </c>
      <c r="C224" s="204" t="s">
        <v>395</v>
      </c>
      <c r="D224" s="205" t="s">
        <v>585</v>
      </c>
      <c r="E224" s="205" t="s">
        <v>390</v>
      </c>
      <c r="F224" s="204" t="s">
        <v>1021</v>
      </c>
      <c r="G224" s="204" t="s">
        <v>1022</v>
      </c>
      <c r="H224" s="204" t="s">
        <v>616</v>
      </c>
    </row>
    <row r="225" spans="1:8" ht="26" x14ac:dyDescent="0.15">
      <c r="A225" s="204" t="s">
        <v>882</v>
      </c>
      <c r="B225" s="205">
        <v>26</v>
      </c>
      <c r="C225" s="204" t="s">
        <v>395</v>
      </c>
      <c r="D225" s="205"/>
      <c r="E225" s="205" t="s">
        <v>399</v>
      </c>
      <c r="F225" s="204" t="s">
        <v>686</v>
      </c>
      <c r="G225" s="204" t="s">
        <v>883</v>
      </c>
      <c r="H225" s="204" t="s">
        <v>884</v>
      </c>
    </row>
    <row r="226" spans="1:8" ht="26" x14ac:dyDescent="0.15">
      <c r="A226" s="204" t="s">
        <v>885</v>
      </c>
      <c r="B226" s="205">
        <v>23</v>
      </c>
      <c r="C226" s="204" t="s">
        <v>395</v>
      </c>
      <c r="D226" s="205"/>
      <c r="E226" s="205" t="s">
        <v>399</v>
      </c>
      <c r="F226" s="204" t="s">
        <v>686</v>
      </c>
      <c r="G226" s="204" t="s">
        <v>883</v>
      </c>
      <c r="H226" s="204" t="s">
        <v>884</v>
      </c>
    </row>
    <row r="227" spans="1:8" ht="26" x14ac:dyDescent="0.15">
      <c r="A227" s="204" t="s">
        <v>886</v>
      </c>
      <c r="B227" s="205">
        <v>23</v>
      </c>
      <c r="C227" s="204" t="s">
        <v>395</v>
      </c>
      <c r="D227" s="205"/>
      <c r="E227" s="205" t="s">
        <v>399</v>
      </c>
      <c r="F227" s="204" t="s">
        <v>686</v>
      </c>
      <c r="G227" s="204" t="s">
        <v>883</v>
      </c>
      <c r="H227" s="204" t="s">
        <v>884</v>
      </c>
    </row>
    <row r="228" spans="1:8" ht="26" x14ac:dyDescent="0.15">
      <c r="A228" s="204" t="s">
        <v>887</v>
      </c>
      <c r="B228" s="205">
        <v>46</v>
      </c>
      <c r="C228" s="204" t="s">
        <v>395</v>
      </c>
      <c r="D228" s="205"/>
      <c r="E228" s="205" t="s">
        <v>399</v>
      </c>
      <c r="F228" s="204" t="s">
        <v>686</v>
      </c>
      <c r="G228" s="204" t="s">
        <v>883</v>
      </c>
      <c r="H228" s="204" t="s">
        <v>884</v>
      </c>
    </row>
    <row r="229" spans="1:8" ht="26" x14ac:dyDescent="0.15">
      <c r="A229" s="204" t="s">
        <v>888</v>
      </c>
      <c r="B229" s="205">
        <v>24</v>
      </c>
      <c r="C229" s="204" t="s">
        <v>395</v>
      </c>
      <c r="D229" s="205"/>
      <c r="E229" s="205" t="s">
        <v>399</v>
      </c>
      <c r="F229" s="204" t="s">
        <v>686</v>
      </c>
      <c r="G229" s="204" t="s">
        <v>883</v>
      </c>
      <c r="H229" s="204" t="s">
        <v>884</v>
      </c>
    </row>
    <row r="230" spans="1:8" ht="26" x14ac:dyDescent="0.15">
      <c r="A230" s="204" t="s">
        <v>889</v>
      </c>
      <c r="B230" s="205">
        <v>29</v>
      </c>
      <c r="C230" s="204" t="s">
        <v>395</v>
      </c>
      <c r="D230" s="205"/>
      <c r="E230" s="205" t="s">
        <v>399</v>
      </c>
      <c r="F230" s="204" t="s">
        <v>686</v>
      </c>
      <c r="G230" s="204" t="s">
        <v>883</v>
      </c>
      <c r="H230" s="204" t="s">
        <v>884</v>
      </c>
    </row>
    <row r="231" spans="1:8" ht="26" x14ac:dyDescent="0.15">
      <c r="A231" s="204" t="s">
        <v>890</v>
      </c>
      <c r="B231" s="205">
        <v>36</v>
      </c>
      <c r="C231" s="204" t="s">
        <v>395</v>
      </c>
      <c r="D231" s="205"/>
      <c r="E231" s="205" t="s">
        <v>399</v>
      </c>
      <c r="F231" s="204" t="s">
        <v>686</v>
      </c>
      <c r="G231" s="204" t="s">
        <v>883</v>
      </c>
      <c r="H231" s="204" t="s">
        <v>884</v>
      </c>
    </row>
    <row r="232" spans="1:8" ht="26" x14ac:dyDescent="0.15">
      <c r="A232" s="204" t="s">
        <v>891</v>
      </c>
      <c r="B232" s="205">
        <v>54</v>
      </c>
      <c r="C232" s="204" t="s">
        <v>395</v>
      </c>
      <c r="D232" s="205"/>
      <c r="E232" s="205" t="s">
        <v>399</v>
      </c>
      <c r="F232" s="204" t="s">
        <v>686</v>
      </c>
      <c r="G232" s="204" t="s">
        <v>883</v>
      </c>
      <c r="H232" s="204" t="s">
        <v>884</v>
      </c>
    </row>
    <row r="233" spans="1:8" ht="13" x14ac:dyDescent="0.15">
      <c r="A233" s="204" t="s">
        <v>894</v>
      </c>
      <c r="B233" s="205">
        <v>23</v>
      </c>
      <c r="C233" s="204" t="s">
        <v>591</v>
      </c>
      <c r="D233" s="205" t="s">
        <v>585</v>
      </c>
      <c r="E233" s="205" t="s">
        <v>412</v>
      </c>
      <c r="F233" s="204" t="s">
        <v>670</v>
      </c>
      <c r="G233" s="204" t="s">
        <v>895</v>
      </c>
      <c r="H233" s="204" t="s">
        <v>884</v>
      </c>
    </row>
    <row r="234" spans="1:8" ht="26" x14ac:dyDescent="0.15">
      <c r="A234" s="204" t="s">
        <v>938</v>
      </c>
      <c r="B234" s="205">
        <v>36</v>
      </c>
      <c r="C234" s="204" t="s">
        <v>395</v>
      </c>
      <c r="D234" s="205" t="s">
        <v>939</v>
      </c>
      <c r="E234" s="205" t="s">
        <v>412</v>
      </c>
      <c r="F234" s="204" t="s">
        <v>940</v>
      </c>
      <c r="G234" s="204" t="s">
        <v>941</v>
      </c>
      <c r="H234" s="204" t="s">
        <v>884</v>
      </c>
    </row>
    <row r="235" spans="1:8" ht="26" x14ac:dyDescent="0.15">
      <c r="A235" s="204" t="s">
        <v>944</v>
      </c>
      <c r="B235" s="205">
        <v>21</v>
      </c>
      <c r="C235" s="204" t="s">
        <v>395</v>
      </c>
      <c r="D235" s="205"/>
      <c r="E235" s="205" t="s">
        <v>390</v>
      </c>
      <c r="F235" s="204" t="s">
        <v>644</v>
      </c>
      <c r="G235" s="204" t="s">
        <v>836</v>
      </c>
      <c r="H235" s="204" t="s">
        <v>884</v>
      </c>
    </row>
    <row r="236" spans="1:8" ht="26" x14ac:dyDescent="0.15">
      <c r="A236" s="204" t="s">
        <v>580</v>
      </c>
      <c r="B236" s="205">
        <v>42</v>
      </c>
      <c r="C236" s="204" t="s">
        <v>395</v>
      </c>
      <c r="D236" s="205"/>
      <c r="E236" s="205" t="s">
        <v>412</v>
      </c>
      <c r="F236" s="204" t="s">
        <v>581</v>
      </c>
      <c r="G236" s="204" t="s">
        <v>582</v>
      </c>
      <c r="H236" s="204" t="s">
        <v>583</v>
      </c>
    </row>
    <row r="237" spans="1:8" ht="13" x14ac:dyDescent="0.15">
      <c r="A237" s="204" t="s">
        <v>922</v>
      </c>
      <c r="B237" s="205">
        <v>21</v>
      </c>
      <c r="C237" s="204" t="s">
        <v>385</v>
      </c>
      <c r="D237" s="205"/>
      <c r="E237" s="205" t="s">
        <v>399</v>
      </c>
      <c r="F237" s="204" t="s">
        <v>923</v>
      </c>
      <c r="G237" s="204" t="s">
        <v>924</v>
      </c>
      <c r="H237" s="204" t="s">
        <v>583</v>
      </c>
    </row>
    <row r="238" spans="1:8" ht="26" x14ac:dyDescent="0.15">
      <c r="A238" s="204" t="s">
        <v>1045</v>
      </c>
      <c r="B238" s="205">
        <v>22</v>
      </c>
      <c r="C238" s="204" t="s">
        <v>395</v>
      </c>
      <c r="D238" s="205" t="s">
        <v>585</v>
      </c>
      <c r="E238" s="205" t="s">
        <v>390</v>
      </c>
      <c r="F238" s="204" t="s">
        <v>604</v>
      </c>
      <c r="G238" s="204" t="s">
        <v>1046</v>
      </c>
      <c r="H238" s="204" t="s">
        <v>583</v>
      </c>
    </row>
    <row r="239" spans="1:8" ht="13" x14ac:dyDescent="0.15">
      <c r="A239" s="199"/>
      <c r="B239" s="203"/>
      <c r="C239" s="199"/>
      <c r="D239" s="203"/>
      <c r="E239" s="203"/>
      <c r="F239" s="199"/>
      <c r="G239" s="199"/>
      <c r="H239" s="199"/>
    </row>
    <row r="240" spans="1:8" ht="52" x14ac:dyDescent="0.15">
      <c r="B240" s="203" t="s">
        <v>1058</v>
      </c>
      <c r="C240" s="199"/>
      <c r="D240" s="203"/>
      <c r="E240" s="203"/>
      <c r="F240" s="199"/>
      <c r="G240" s="199"/>
      <c r="H240" s="199"/>
    </row>
  </sheetData>
  <autoFilter ref="A4:H238"/>
  <sortState ref="A5:I57">
    <sortCondition descending="1" ref="I5:I57"/>
    <sortCondition descending="1" ref="B5:B57"/>
  </sortState>
  <mergeCells count="4">
    <mergeCell ref="E2:F2"/>
    <mergeCell ref="A2:C2"/>
    <mergeCell ref="A3:C3"/>
    <mergeCell ref="A1:E1"/>
  </mergeCells>
  <phoneticPr fontId="10" type="noConversion"/>
  <hyperlinks>
    <hyperlink ref="A3" r:id="rId1"/>
    <hyperlink ref="A2" r:id="rId2"/>
  </hyperlinks>
  <pageMargins left="0.16" right="0.16" top="0.41000000000000009" bottom="0.8" header="0.5" footer="0.10999999999999999"/>
  <pageSetup paperSize="9" scale="50" orientation="portrait"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55"/>
  <sheetViews>
    <sheetView showGridLines="0" workbookViewId="0">
      <pane ySplit="4" topLeftCell="A5" activePane="bottomLeft" state="frozenSplit"/>
      <selection activeCell="H28" sqref="H28"/>
      <selection pane="bottomLeft" activeCell="H28" sqref="H28"/>
    </sheetView>
  </sheetViews>
  <sheetFormatPr baseColWidth="10" defaultRowHeight="16" x14ac:dyDescent="0.2"/>
  <cols>
    <col min="1" max="1" width="7.6640625" customWidth="1"/>
    <col min="2" max="2" width="28.1640625" bestFit="1" customWidth="1"/>
    <col min="3" max="3" width="15" bestFit="1" customWidth="1"/>
    <col min="4" max="4" width="9.83203125" bestFit="1" customWidth="1"/>
    <col min="5" max="5" width="6.1640625" bestFit="1" customWidth="1"/>
    <col min="6" max="6" width="10.1640625" bestFit="1" customWidth="1"/>
    <col min="7" max="7" width="28.1640625" bestFit="1" customWidth="1"/>
    <col min="8" max="8" width="7.83203125" customWidth="1"/>
    <col min="9" max="9" width="11.83203125" bestFit="1" customWidth="1"/>
  </cols>
  <sheetData>
    <row r="1" spans="1:12" ht="19" x14ac:dyDescent="0.25">
      <c r="A1" s="208" t="s">
        <v>1122</v>
      </c>
    </row>
    <row r="2" spans="1:12" ht="19" x14ac:dyDescent="0.25">
      <c r="A2" s="142" t="s">
        <v>1159</v>
      </c>
    </row>
    <row r="3" spans="1:12" x14ac:dyDescent="0.2">
      <c r="A3" t="s">
        <v>1118</v>
      </c>
    </row>
    <row r="4" spans="1:12" ht="48" x14ac:dyDescent="0.2">
      <c r="A4" s="207" t="s">
        <v>1117</v>
      </c>
      <c r="B4" s="207" t="s">
        <v>1062</v>
      </c>
      <c r="C4" s="207" t="s">
        <v>1063</v>
      </c>
      <c r="D4" s="207" t="s">
        <v>1064</v>
      </c>
      <c r="E4" s="207" t="s">
        <v>576</v>
      </c>
      <c r="F4" s="207" t="s">
        <v>1065</v>
      </c>
      <c r="G4" s="207" t="s">
        <v>1066</v>
      </c>
      <c r="H4" s="210" t="s">
        <v>1120</v>
      </c>
      <c r="I4" s="207" t="s">
        <v>1061</v>
      </c>
    </row>
    <row r="5" spans="1:12" x14ac:dyDescent="0.2">
      <c r="A5" s="65">
        <v>1</v>
      </c>
      <c r="B5" t="s">
        <v>1067</v>
      </c>
      <c r="C5" t="s">
        <v>1068</v>
      </c>
      <c r="D5">
        <v>306</v>
      </c>
      <c r="E5">
        <v>73</v>
      </c>
      <c r="F5">
        <v>2013</v>
      </c>
      <c r="G5" t="s">
        <v>1069</v>
      </c>
    </row>
    <row r="6" spans="1:12" x14ac:dyDescent="0.2">
      <c r="A6" s="65">
        <v>2</v>
      </c>
      <c r="B6" t="s">
        <v>1070</v>
      </c>
      <c r="C6" t="s">
        <v>1068</v>
      </c>
      <c r="D6">
        <v>270</v>
      </c>
      <c r="E6" t="s">
        <v>396</v>
      </c>
      <c r="F6" t="s">
        <v>396</v>
      </c>
      <c r="G6" t="s">
        <v>1071</v>
      </c>
    </row>
    <row r="7" spans="1:12" x14ac:dyDescent="0.2">
      <c r="A7" s="65">
        <v>3</v>
      </c>
      <c r="B7" t="s">
        <v>1072</v>
      </c>
      <c r="C7" t="s">
        <v>1068</v>
      </c>
      <c r="D7">
        <v>262</v>
      </c>
      <c r="E7">
        <v>60</v>
      </c>
      <c r="F7">
        <v>2018</v>
      </c>
      <c r="G7" t="s">
        <v>1071</v>
      </c>
    </row>
    <row r="8" spans="1:12" x14ac:dyDescent="0.2">
      <c r="A8" s="65">
        <v>4</v>
      </c>
      <c r="B8" t="s">
        <v>1073</v>
      </c>
      <c r="C8" t="s">
        <v>1068</v>
      </c>
      <c r="D8">
        <v>242</v>
      </c>
      <c r="E8">
        <v>74</v>
      </c>
      <c r="F8">
        <v>2018</v>
      </c>
      <c r="G8" t="s">
        <v>1074</v>
      </c>
      <c r="H8" t="s">
        <v>1119</v>
      </c>
      <c r="I8" t="s">
        <v>1124</v>
      </c>
      <c r="L8">
        <v>1</v>
      </c>
    </row>
    <row r="9" spans="1:12" x14ac:dyDescent="0.2">
      <c r="A9" s="65">
        <v>5</v>
      </c>
      <c r="B9" t="s">
        <v>1075</v>
      </c>
      <c r="C9" t="s">
        <v>1068</v>
      </c>
      <c r="D9">
        <v>239</v>
      </c>
      <c r="E9">
        <v>75</v>
      </c>
      <c r="F9" t="s">
        <v>396</v>
      </c>
      <c r="G9" t="s">
        <v>1076</v>
      </c>
      <c r="H9" t="s">
        <v>1119</v>
      </c>
      <c r="I9" t="s">
        <v>1127</v>
      </c>
      <c r="L9">
        <v>1</v>
      </c>
    </row>
    <row r="10" spans="1:12" x14ac:dyDescent="0.2">
      <c r="A10" s="65">
        <v>6</v>
      </c>
      <c r="B10" t="s">
        <v>329</v>
      </c>
      <c r="C10" t="s">
        <v>1068</v>
      </c>
      <c r="D10">
        <v>236</v>
      </c>
      <c r="E10">
        <v>50</v>
      </c>
      <c r="F10">
        <v>1991</v>
      </c>
      <c r="G10" t="s">
        <v>1071</v>
      </c>
      <c r="H10" t="s">
        <v>1119</v>
      </c>
      <c r="I10" t="s">
        <v>387</v>
      </c>
      <c r="L10">
        <v>1</v>
      </c>
    </row>
    <row r="11" spans="1:12" x14ac:dyDescent="0.2">
      <c r="A11" s="65">
        <v>7</v>
      </c>
      <c r="B11" t="s">
        <v>1077</v>
      </c>
      <c r="C11" t="s">
        <v>1068</v>
      </c>
      <c r="D11">
        <v>230</v>
      </c>
      <c r="E11">
        <v>46</v>
      </c>
      <c r="F11">
        <v>2011</v>
      </c>
      <c r="G11" t="s">
        <v>1071</v>
      </c>
    </row>
    <row r="12" spans="1:12" x14ac:dyDescent="0.2">
      <c r="A12" s="65">
        <v>8</v>
      </c>
      <c r="B12" t="s">
        <v>993</v>
      </c>
      <c r="C12" t="s">
        <v>1068</v>
      </c>
      <c r="D12">
        <v>224</v>
      </c>
      <c r="E12">
        <v>50</v>
      </c>
      <c r="F12">
        <v>2014</v>
      </c>
      <c r="G12" t="s">
        <v>1071</v>
      </c>
    </row>
    <row r="13" spans="1:12" x14ac:dyDescent="0.2">
      <c r="A13" s="65">
        <v>9</v>
      </c>
      <c r="B13" t="s">
        <v>1078</v>
      </c>
      <c r="C13" t="s">
        <v>1068</v>
      </c>
      <c r="D13">
        <v>221</v>
      </c>
      <c r="E13">
        <v>40</v>
      </c>
      <c r="F13" t="s">
        <v>396</v>
      </c>
      <c r="G13" t="s">
        <v>1071</v>
      </c>
      <c r="H13" t="s">
        <v>1119</v>
      </c>
      <c r="I13" t="s">
        <v>412</v>
      </c>
      <c r="L13">
        <v>1</v>
      </c>
    </row>
    <row r="14" spans="1:12" x14ac:dyDescent="0.2">
      <c r="A14" s="65">
        <v>10</v>
      </c>
      <c r="B14" t="s">
        <v>892</v>
      </c>
      <c r="C14" t="s">
        <v>1068</v>
      </c>
      <c r="D14">
        <v>219.8</v>
      </c>
      <c r="E14">
        <v>58</v>
      </c>
      <c r="F14">
        <v>2018</v>
      </c>
      <c r="G14" t="s">
        <v>1074</v>
      </c>
      <c r="H14" t="s">
        <v>1119</v>
      </c>
      <c r="I14" t="s">
        <v>259</v>
      </c>
      <c r="L14">
        <v>1</v>
      </c>
    </row>
    <row r="15" spans="1:12" x14ac:dyDescent="0.2">
      <c r="A15" s="65">
        <v>11</v>
      </c>
      <c r="B15" t="s">
        <v>1079</v>
      </c>
      <c r="C15" t="s">
        <v>1068</v>
      </c>
      <c r="D15">
        <v>214.5</v>
      </c>
      <c r="E15">
        <v>68</v>
      </c>
      <c r="F15">
        <v>2020</v>
      </c>
      <c r="G15" t="s">
        <v>1074</v>
      </c>
      <c r="H15" t="s">
        <v>1119</v>
      </c>
      <c r="I15" t="s">
        <v>412</v>
      </c>
      <c r="L15">
        <v>1</v>
      </c>
    </row>
    <row r="16" spans="1:12" x14ac:dyDescent="0.2">
      <c r="A16" s="65">
        <v>12</v>
      </c>
      <c r="B16" t="s">
        <v>1080</v>
      </c>
      <c r="C16" t="s">
        <v>1068</v>
      </c>
      <c r="D16">
        <v>204.9</v>
      </c>
      <c r="E16">
        <v>57</v>
      </c>
      <c r="F16">
        <v>2019</v>
      </c>
      <c r="G16" t="s">
        <v>1074</v>
      </c>
      <c r="H16" t="s">
        <v>1119</v>
      </c>
      <c r="I16" t="s">
        <v>1121</v>
      </c>
      <c r="L16">
        <v>1</v>
      </c>
    </row>
    <row r="17" spans="1:12" x14ac:dyDescent="0.2">
      <c r="A17" s="65">
        <v>13</v>
      </c>
      <c r="B17" t="s">
        <v>1081</v>
      </c>
      <c r="C17" t="s">
        <v>1068</v>
      </c>
      <c r="D17">
        <v>201</v>
      </c>
      <c r="E17">
        <v>42</v>
      </c>
      <c r="F17">
        <v>2002</v>
      </c>
      <c r="G17" t="s">
        <v>1071</v>
      </c>
      <c r="H17" t="s">
        <v>1119</v>
      </c>
      <c r="I17" t="s">
        <v>387</v>
      </c>
      <c r="L17">
        <v>1</v>
      </c>
    </row>
    <row r="18" spans="1:12" x14ac:dyDescent="0.2">
      <c r="A18" s="65">
        <v>14</v>
      </c>
      <c r="B18" t="s">
        <v>1082</v>
      </c>
      <c r="C18" t="s">
        <v>1068</v>
      </c>
      <c r="D18">
        <v>199.9</v>
      </c>
      <c r="E18">
        <v>58</v>
      </c>
      <c r="F18">
        <v>2018</v>
      </c>
      <c r="G18" t="s">
        <v>1083</v>
      </c>
    </row>
    <row r="19" spans="1:12" x14ac:dyDescent="0.2">
      <c r="A19" s="65">
        <v>15</v>
      </c>
      <c r="B19" t="s">
        <v>1084</v>
      </c>
      <c r="C19" t="s">
        <v>1068</v>
      </c>
      <c r="D19">
        <v>199.5</v>
      </c>
      <c r="E19">
        <v>42</v>
      </c>
      <c r="F19">
        <v>2002</v>
      </c>
      <c r="G19" t="s">
        <v>1071</v>
      </c>
      <c r="H19" t="s">
        <v>1119</v>
      </c>
      <c r="I19" t="s">
        <v>387</v>
      </c>
      <c r="L19">
        <v>1</v>
      </c>
    </row>
    <row r="20" spans="1:12" x14ac:dyDescent="0.2">
      <c r="A20" s="65">
        <v>16</v>
      </c>
      <c r="B20" t="s">
        <v>910</v>
      </c>
      <c r="C20" t="s">
        <v>1068</v>
      </c>
      <c r="D20">
        <v>198.6</v>
      </c>
      <c r="E20">
        <v>51</v>
      </c>
      <c r="F20" t="s">
        <v>396</v>
      </c>
      <c r="G20" t="s">
        <v>1069</v>
      </c>
    </row>
    <row r="21" spans="1:12" x14ac:dyDescent="0.2">
      <c r="A21" s="65">
        <v>17</v>
      </c>
      <c r="B21" t="s">
        <v>1085</v>
      </c>
      <c r="C21" t="s">
        <v>1068</v>
      </c>
      <c r="D21">
        <v>192.1</v>
      </c>
      <c r="E21">
        <v>39</v>
      </c>
      <c r="F21">
        <v>2017</v>
      </c>
      <c r="G21" t="s">
        <v>1071</v>
      </c>
    </row>
    <row r="22" spans="1:12" x14ac:dyDescent="0.2">
      <c r="A22" s="65">
        <v>18</v>
      </c>
      <c r="B22" t="s">
        <v>1086</v>
      </c>
      <c r="C22" t="s">
        <v>1068</v>
      </c>
      <c r="D22">
        <v>192</v>
      </c>
      <c r="E22">
        <v>51</v>
      </c>
      <c r="F22">
        <v>2021</v>
      </c>
      <c r="G22" t="s">
        <v>1074</v>
      </c>
      <c r="H22" t="s">
        <v>1119</v>
      </c>
      <c r="I22" t="s">
        <v>1121</v>
      </c>
      <c r="L22">
        <v>1</v>
      </c>
    </row>
    <row r="23" spans="1:12" x14ac:dyDescent="0.2">
      <c r="A23" s="65">
        <v>19</v>
      </c>
      <c r="B23" t="s">
        <v>838</v>
      </c>
      <c r="C23" t="s">
        <v>1068</v>
      </c>
      <c r="D23">
        <v>190</v>
      </c>
      <c r="E23" t="s">
        <v>396</v>
      </c>
      <c r="F23" t="s">
        <v>396</v>
      </c>
      <c r="G23" t="s">
        <v>1071</v>
      </c>
      <c r="H23" t="s">
        <v>1119</v>
      </c>
      <c r="I23" t="s">
        <v>1121</v>
      </c>
      <c r="L23">
        <v>1</v>
      </c>
    </row>
    <row r="24" spans="1:12" x14ac:dyDescent="0.2">
      <c r="A24" s="65">
        <v>20</v>
      </c>
      <c r="B24" t="s">
        <v>1087</v>
      </c>
      <c r="C24" t="s">
        <v>1068</v>
      </c>
      <c r="D24">
        <v>183</v>
      </c>
      <c r="E24">
        <v>55</v>
      </c>
      <c r="F24" t="s">
        <v>396</v>
      </c>
      <c r="G24" t="s">
        <v>1074</v>
      </c>
      <c r="H24" t="s">
        <v>1119</v>
      </c>
      <c r="I24" t="s">
        <v>412</v>
      </c>
      <c r="L24">
        <v>1</v>
      </c>
    </row>
    <row r="25" spans="1:12" x14ac:dyDescent="0.2">
      <c r="A25" s="65">
        <v>21</v>
      </c>
      <c r="B25" t="s">
        <v>1088</v>
      </c>
      <c r="C25" t="s">
        <v>1068</v>
      </c>
      <c r="D25">
        <v>183</v>
      </c>
      <c r="E25">
        <v>43</v>
      </c>
      <c r="F25">
        <v>1980</v>
      </c>
      <c r="G25" t="s">
        <v>1071</v>
      </c>
    </row>
    <row r="26" spans="1:12" x14ac:dyDescent="0.2">
      <c r="A26" s="65">
        <v>21</v>
      </c>
      <c r="B26" t="s">
        <v>1089</v>
      </c>
      <c r="C26" t="s">
        <v>1068</v>
      </c>
      <c r="D26">
        <v>183</v>
      </c>
      <c r="E26">
        <v>43</v>
      </c>
      <c r="F26" t="s">
        <v>396</v>
      </c>
      <c r="G26" t="s">
        <v>1071</v>
      </c>
    </row>
    <row r="27" spans="1:12" x14ac:dyDescent="0.2">
      <c r="A27" s="65">
        <v>23</v>
      </c>
      <c r="B27" t="s">
        <v>369</v>
      </c>
      <c r="C27" t="s">
        <v>1068</v>
      </c>
      <c r="D27">
        <v>180.6</v>
      </c>
      <c r="E27">
        <v>52</v>
      </c>
      <c r="F27">
        <v>2014</v>
      </c>
      <c r="G27" t="s">
        <v>1074</v>
      </c>
    </row>
    <row r="28" spans="1:12" x14ac:dyDescent="0.2">
      <c r="A28" s="65">
        <v>24</v>
      </c>
      <c r="B28" t="s">
        <v>1090</v>
      </c>
      <c r="C28" t="s">
        <v>1068</v>
      </c>
      <c r="D28">
        <v>179.8</v>
      </c>
      <c r="E28">
        <v>40</v>
      </c>
      <c r="F28">
        <v>2004</v>
      </c>
      <c r="G28" t="s">
        <v>1071</v>
      </c>
    </row>
    <row r="29" spans="1:12" x14ac:dyDescent="0.2">
      <c r="A29" s="65">
        <v>25</v>
      </c>
      <c r="B29" t="s">
        <v>1091</v>
      </c>
      <c r="C29" t="s">
        <v>1068</v>
      </c>
      <c r="D29">
        <v>179</v>
      </c>
      <c r="E29">
        <v>32</v>
      </c>
      <c r="F29" t="s">
        <v>396</v>
      </c>
      <c r="G29" t="s">
        <v>1074</v>
      </c>
    </row>
    <row r="30" spans="1:12" x14ac:dyDescent="0.2">
      <c r="A30" s="65">
        <v>26</v>
      </c>
      <c r="B30" t="s">
        <v>1092</v>
      </c>
      <c r="C30" t="s">
        <v>1068</v>
      </c>
      <c r="D30">
        <v>178</v>
      </c>
      <c r="E30">
        <v>52</v>
      </c>
      <c r="F30" t="s">
        <v>396</v>
      </c>
      <c r="G30" t="s">
        <v>1093</v>
      </c>
    </row>
    <row r="31" spans="1:12" x14ac:dyDescent="0.2">
      <c r="A31" s="65">
        <v>27</v>
      </c>
      <c r="B31" t="s">
        <v>876</v>
      </c>
      <c r="C31" t="s">
        <v>1068</v>
      </c>
      <c r="D31">
        <v>172.2</v>
      </c>
      <c r="E31">
        <v>55</v>
      </c>
      <c r="F31" t="s">
        <v>396</v>
      </c>
      <c r="G31" t="s">
        <v>1074</v>
      </c>
    </row>
    <row r="32" spans="1:12" x14ac:dyDescent="0.2">
      <c r="A32" s="65">
        <v>28</v>
      </c>
      <c r="B32" t="s">
        <v>590</v>
      </c>
      <c r="C32" t="s">
        <v>1068</v>
      </c>
      <c r="D32">
        <v>171.9</v>
      </c>
      <c r="E32">
        <v>40</v>
      </c>
      <c r="F32">
        <v>2016</v>
      </c>
      <c r="G32" t="s">
        <v>1094</v>
      </c>
    </row>
    <row r="33" spans="1:12" x14ac:dyDescent="0.2">
      <c r="A33" s="65">
        <v>29</v>
      </c>
      <c r="B33" t="s">
        <v>1095</v>
      </c>
      <c r="C33" t="s">
        <v>1068</v>
      </c>
      <c r="D33">
        <v>171</v>
      </c>
      <c r="E33">
        <v>54</v>
      </c>
      <c r="F33" t="s">
        <v>396</v>
      </c>
      <c r="G33" t="s">
        <v>1074</v>
      </c>
    </row>
    <row r="34" spans="1:12" x14ac:dyDescent="0.2">
      <c r="A34" s="65">
        <v>30</v>
      </c>
      <c r="B34" t="s">
        <v>1096</v>
      </c>
      <c r="C34" t="s">
        <v>1068</v>
      </c>
      <c r="D34">
        <v>170</v>
      </c>
      <c r="E34">
        <v>50</v>
      </c>
      <c r="F34" t="s">
        <v>396</v>
      </c>
      <c r="G34" t="s">
        <v>1074</v>
      </c>
      <c r="H34" t="s">
        <v>1119</v>
      </c>
      <c r="I34" t="s">
        <v>412</v>
      </c>
      <c r="L34">
        <v>1</v>
      </c>
    </row>
    <row r="35" spans="1:12" x14ac:dyDescent="0.2">
      <c r="A35" s="65">
        <v>31</v>
      </c>
      <c r="B35" t="s">
        <v>1097</v>
      </c>
      <c r="C35" t="s">
        <v>1068</v>
      </c>
      <c r="D35">
        <v>170</v>
      </c>
      <c r="E35">
        <v>48</v>
      </c>
      <c r="F35">
        <v>2020</v>
      </c>
      <c r="G35" t="s">
        <v>1098</v>
      </c>
    </row>
    <row r="36" spans="1:12" x14ac:dyDescent="0.2">
      <c r="A36" s="65">
        <v>32</v>
      </c>
      <c r="B36" t="s">
        <v>1099</v>
      </c>
      <c r="C36" t="s">
        <v>1068</v>
      </c>
      <c r="D36">
        <v>170</v>
      </c>
      <c r="E36">
        <v>37</v>
      </c>
      <c r="F36" t="s">
        <v>396</v>
      </c>
      <c r="G36" t="s">
        <v>1071</v>
      </c>
    </row>
    <row r="37" spans="1:12" x14ac:dyDescent="0.2">
      <c r="A37" s="65">
        <v>33</v>
      </c>
      <c r="B37" t="s">
        <v>1100</v>
      </c>
      <c r="C37" t="s">
        <v>1068</v>
      </c>
      <c r="D37">
        <v>169.8</v>
      </c>
      <c r="E37">
        <v>50</v>
      </c>
      <c r="F37">
        <v>2018</v>
      </c>
      <c r="G37" t="s">
        <v>1074</v>
      </c>
    </row>
    <row r="38" spans="1:12" x14ac:dyDescent="0.2">
      <c r="A38" s="65">
        <v>34</v>
      </c>
      <c r="B38" t="s">
        <v>1101</v>
      </c>
      <c r="C38" t="s">
        <v>1102</v>
      </c>
      <c r="D38">
        <v>169.1</v>
      </c>
      <c r="E38">
        <v>50</v>
      </c>
      <c r="F38">
        <v>2006</v>
      </c>
      <c r="G38" t="s">
        <v>1103</v>
      </c>
    </row>
    <row r="39" spans="1:12" x14ac:dyDescent="0.2">
      <c r="A39" s="65">
        <v>35</v>
      </c>
      <c r="B39" t="s">
        <v>1104</v>
      </c>
      <c r="C39" t="s">
        <v>1068</v>
      </c>
      <c r="D39">
        <v>168</v>
      </c>
      <c r="E39">
        <v>49</v>
      </c>
      <c r="F39" t="s">
        <v>396</v>
      </c>
      <c r="G39" t="s">
        <v>1074</v>
      </c>
    </row>
    <row r="40" spans="1:12" x14ac:dyDescent="0.2">
      <c r="A40" s="65">
        <v>35</v>
      </c>
      <c r="B40" t="s">
        <v>1105</v>
      </c>
      <c r="C40" t="s">
        <v>1068</v>
      </c>
      <c r="D40">
        <v>168</v>
      </c>
      <c r="E40">
        <v>49</v>
      </c>
      <c r="F40" t="s">
        <v>396</v>
      </c>
      <c r="G40" t="s">
        <v>1074</v>
      </c>
    </row>
    <row r="41" spans="1:12" x14ac:dyDescent="0.2">
      <c r="A41" s="65">
        <v>37</v>
      </c>
      <c r="B41" t="s">
        <v>903</v>
      </c>
      <c r="C41" t="s">
        <v>1068</v>
      </c>
      <c r="D41">
        <v>165</v>
      </c>
      <c r="E41">
        <v>52</v>
      </c>
      <c r="F41">
        <v>2018</v>
      </c>
      <c r="G41" t="s">
        <v>1074</v>
      </c>
    </row>
    <row r="42" spans="1:12" x14ac:dyDescent="0.2">
      <c r="A42" s="65">
        <v>38</v>
      </c>
      <c r="B42" t="s">
        <v>1106</v>
      </c>
      <c r="C42" t="s">
        <v>1068</v>
      </c>
      <c r="D42">
        <v>161.30000000000001</v>
      </c>
      <c r="E42">
        <v>50</v>
      </c>
      <c r="F42" t="s">
        <v>396</v>
      </c>
      <c r="G42" t="s">
        <v>1074</v>
      </c>
    </row>
    <row r="43" spans="1:12" x14ac:dyDescent="0.2">
      <c r="A43" s="65">
        <v>39</v>
      </c>
      <c r="B43" t="s">
        <v>1107</v>
      </c>
      <c r="C43" t="s">
        <v>1068</v>
      </c>
      <c r="D43">
        <v>161.30000000000001</v>
      </c>
      <c r="E43">
        <v>35</v>
      </c>
      <c r="F43">
        <v>2008</v>
      </c>
      <c r="G43" t="s">
        <v>1071</v>
      </c>
    </row>
    <row r="44" spans="1:12" x14ac:dyDescent="0.2">
      <c r="A44" s="65">
        <v>40</v>
      </c>
      <c r="B44" t="s">
        <v>1108</v>
      </c>
      <c r="C44" t="s">
        <v>1068</v>
      </c>
      <c r="D44">
        <v>161</v>
      </c>
      <c r="E44">
        <v>43</v>
      </c>
      <c r="F44">
        <v>2017</v>
      </c>
      <c r="G44" t="s">
        <v>1083</v>
      </c>
    </row>
    <row r="45" spans="1:12" x14ac:dyDescent="0.2">
      <c r="A45" s="65">
        <v>41</v>
      </c>
      <c r="B45" t="s">
        <v>1109</v>
      </c>
      <c r="C45" t="s">
        <v>1068</v>
      </c>
      <c r="D45">
        <v>160.1</v>
      </c>
      <c r="E45">
        <v>36</v>
      </c>
      <c r="F45">
        <v>2014</v>
      </c>
      <c r="G45" t="s">
        <v>1071</v>
      </c>
    </row>
    <row r="46" spans="1:12" x14ac:dyDescent="0.2">
      <c r="A46" s="65">
        <v>42</v>
      </c>
      <c r="B46" t="s">
        <v>1110</v>
      </c>
      <c r="C46" t="s">
        <v>1068</v>
      </c>
      <c r="D46">
        <v>157</v>
      </c>
      <c r="E46">
        <v>42</v>
      </c>
      <c r="F46">
        <v>2020</v>
      </c>
      <c r="G46" t="s">
        <v>1074</v>
      </c>
      <c r="H46" t="s">
        <v>1119</v>
      </c>
      <c r="I46" t="s">
        <v>1121</v>
      </c>
      <c r="L46">
        <v>1</v>
      </c>
    </row>
    <row r="47" spans="1:12" x14ac:dyDescent="0.2">
      <c r="A47" s="65">
        <v>43</v>
      </c>
      <c r="B47" t="s">
        <v>1111</v>
      </c>
      <c r="C47" t="s">
        <v>1068</v>
      </c>
      <c r="D47">
        <v>156.30000000000001</v>
      </c>
      <c r="E47">
        <v>30</v>
      </c>
      <c r="F47">
        <v>2004</v>
      </c>
      <c r="G47" t="s">
        <v>1071</v>
      </c>
      <c r="H47" t="s">
        <v>1119</v>
      </c>
      <c r="I47" t="s">
        <v>387</v>
      </c>
      <c r="L47">
        <v>1</v>
      </c>
    </row>
    <row r="48" spans="1:12" x14ac:dyDescent="0.2">
      <c r="A48" s="65">
        <v>44</v>
      </c>
      <c r="B48" t="s">
        <v>1112</v>
      </c>
      <c r="C48" t="s">
        <v>1068</v>
      </c>
      <c r="D48">
        <v>155</v>
      </c>
      <c r="E48">
        <v>42</v>
      </c>
      <c r="F48">
        <v>2015</v>
      </c>
      <c r="G48" t="s">
        <v>1074</v>
      </c>
    </row>
    <row r="49" spans="1:12" x14ac:dyDescent="0.2">
      <c r="A49" s="65">
        <v>45</v>
      </c>
      <c r="B49" t="s">
        <v>1113</v>
      </c>
      <c r="C49" t="s">
        <v>1068</v>
      </c>
      <c r="D49">
        <v>153</v>
      </c>
      <c r="E49">
        <v>30</v>
      </c>
      <c r="F49">
        <v>2003</v>
      </c>
      <c r="G49" t="s">
        <v>1071</v>
      </c>
      <c r="H49" t="s">
        <v>1119</v>
      </c>
      <c r="I49" t="s">
        <v>387</v>
      </c>
      <c r="L49">
        <v>1</v>
      </c>
    </row>
    <row r="50" spans="1:12" x14ac:dyDescent="0.2">
      <c r="A50" s="65">
        <v>45</v>
      </c>
      <c r="B50" t="s">
        <v>1114</v>
      </c>
      <c r="C50" t="s">
        <v>1068</v>
      </c>
      <c r="D50">
        <v>153</v>
      </c>
      <c r="E50">
        <v>30</v>
      </c>
      <c r="F50">
        <v>2003</v>
      </c>
      <c r="G50" t="s">
        <v>1071</v>
      </c>
      <c r="H50" t="s">
        <v>1119</v>
      </c>
      <c r="I50" t="s">
        <v>387</v>
      </c>
      <c r="L50">
        <v>1</v>
      </c>
    </row>
    <row r="51" spans="1:12" x14ac:dyDescent="0.2">
      <c r="A51" s="65">
        <v>47</v>
      </c>
      <c r="B51" t="s">
        <v>1115</v>
      </c>
      <c r="C51" t="s">
        <v>1068</v>
      </c>
      <c r="D51">
        <v>150.9</v>
      </c>
      <c r="E51">
        <v>30</v>
      </c>
      <c r="F51">
        <v>2003</v>
      </c>
      <c r="G51" t="s">
        <v>1071</v>
      </c>
      <c r="H51" t="s">
        <v>1119</v>
      </c>
      <c r="I51" t="s">
        <v>387</v>
      </c>
      <c r="L51">
        <v>1</v>
      </c>
    </row>
    <row r="52" spans="1:12" x14ac:dyDescent="0.2">
      <c r="A52" s="65">
        <v>48</v>
      </c>
      <c r="B52" t="s">
        <v>1116</v>
      </c>
      <c r="C52" t="s">
        <v>1068</v>
      </c>
      <c r="D52">
        <v>150</v>
      </c>
      <c r="E52" t="s">
        <v>396</v>
      </c>
      <c r="F52" t="s">
        <v>396</v>
      </c>
      <c r="G52" t="s">
        <v>1074</v>
      </c>
    </row>
    <row r="53" spans="1:12" x14ac:dyDescent="0.2">
      <c r="A53" s="65">
        <v>49</v>
      </c>
      <c r="B53" t="s">
        <v>580</v>
      </c>
      <c r="C53" t="s">
        <v>1068</v>
      </c>
      <c r="D53">
        <v>149.6</v>
      </c>
      <c r="E53">
        <v>41</v>
      </c>
      <c r="F53">
        <v>2016</v>
      </c>
      <c r="G53" t="s">
        <v>1103</v>
      </c>
    </row>
    <row r="54" spans="1:12" x14ac:dyDescent="0.2">
      <c r="A54" s="65">
        <v>50</v>
      </c>
      <c r="B54" t="s">
        <v>85</v>
      </c>
      <c r="C54" t="s">
        <v>1068</v>
      </c>
      <c r="D54">
        <v>149.1</v>
      </c>
      <c r="E54">
        <v>44</v>
      </c>
      <c r="F54">
        <v>2017</v>
      </c>
      <c r="G54" t="s">
        <v>1074</v>
      </c>
      <c r="H54" t="s">
        <v>1119</v>
      </c>
      <c r="I54" t="s">
        <v>1121</v>
      </c>
      <c r="L54">
        <v>1</v>
      </c>
    </row>
    <row r="55" spans="1:12" x14ac:dyDescent="0.2">
      <c r="A55" s="65"/>
      <c r="L55">
        <f>SUM(L5:L54)</f>
        <v>19</v>
      </c>
    </row>
  </sheetData>
  <autoFilter ref="A4:H54"/>
  <phoneticPr fontId="10" type="noConversion"/>
  <pageMargins left="0.16" right="0.16" top="0.41000000000000009" bottom="0.8" header="0.5" footer="0.10999999999999999"/>
  <pageSetup paperSize="9" scale="74" orientation="portrait"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6"/>
  <sheetViews>
    <sheetView showGridLines="0" workbookViewId="0">
      <selection activeCell="H28" sqref="H28"/>
    </sheetView>
  </sheetViews>
  <sheetFormatPr baseColWidth="10" defaultRowHeight="16" x14ac:dyDescent="0.2"/>
  <cols>
    <col min="2" max="2" width="28.5" customWidth="1"/>
    <col min="3" max="3" width="11.83203125" customWidth="1"/>
    <col min="5" max="5" width="11.83203125" customWidth="1"/>
    <col min="6" max="6" width="10.83203125" style="65"/>
    <col min="7" max="7" width="11.83203125" customWidth="1"/>
    <col min="9" max="9" width="11.83203125" customWidth="1"/>
  </cols>
  <sheetData>
    <row r="1" spans="2:12" ht="21" x14ac:dyDescent="0.25">
      <c r="B1" s="49" t="s">
        <v>1142</v>
      </c>
    </row>
    <row r="2" spans="2:12" ht="19" x14ac:dyDescent="0.25">
      <c r="B2" s="142" t="s">
        <v>1143</v>
      </c>
    </row>
    <row r="3" spans="2:12" ht="19" x14ac:dyDescent="0.25">
      <c r="B3" s="142" t="s">
        <v>1157</v>
      </c>
    </row>
    <row r="4" spans="2:12" ht="32" x14ac:dyDescent="0.2">
      <c r="C4" s="100" t="s">
        <v>1139</v>
      </c>
      <c r="D4" s="222" t="s">
        <v>1156</v>
      </c>
      <c r="E4" s="100" t="s">
        <v>1140</v>
      </c>
      <c r="F4" s="222" t="s">
        <v>1156</v>
      </c>
      <c r="G4" s="100" t="s">
        <v>390</v>
      </c>
      <c r="H4" s="222" t="s">
        <v>1156</v>
      </c>
      <c r="I4" s="100" t="s">
        <v>1141</v>
      </c>
      <c r="J4" s="222" t="s">
        <v>1156</v>
      </c>
      <c r="K4" s="100" t="s">
        <v>1144</v>
      </c>
      <c r="L4" s="100"/>
    </row>
    <row r="5" spans="2:12" x14ac:dyDescent="0.2">
      <c r="B5" t="s">
        <v>588</v>
      </c>
      <c r="C5" s="60">
        <v>4938</v>
      </c>
      <c r="D5" s="220">
        <f t="shared" ref="D5:D16" si="0">C5/$C$26</f>
        <v>0.16643634770298965</v>
      </c>
      <c r="E5" s="60">
        <v>15668</v>
      </c>
      <c r="F5" s="226">
        <f t="shared" ref="F5:F16" si="1">E5/$E$26</f>
        <v>9.0156340808000598E-2</v>
      </c>
      <c r="G5" s="60">
        <v>3764</v>
      </c>
      <c r="H5" s="220">
        <f t="shared" ref="H5:H16" si="2">G5/$G$26</f>
        <v>0.1049198606271777</v>
      </c>
      <c r="I5" s="60">
        <v>1735</v>
      </c>
      <c r="J5" s="220">
        <f t="shared" ref="J5:J16" si="3">I5/$I$26</f>
        <v>0.11568980462759218</v>
      </c>
      <c r="K5" s="60">
        <v>2307</v>
      </c>
      <c r="L5" s="218">
        <f t="shared" ref="L5:L16" si="4">K5/$K$26</f>
        <v>9.3001693138756752E-2</v>
      </c>
    </row>
    <row r="6" spans="2:12" x14ac:dyDescent="0.2">
      <c r="B6" t="s">
        <v>616</v>
      </c>
      <c r="C6" s="60">
        <v>2844</v>
      </c>
      <c r="D6" s="218">
        <f t="shared" si="0"/>
        <v>9.5857629175233411E-2</v>
      </c>
      <c r="E6" s="60">
        <v>6989</v>
      </c>
      <c r="F6" s="218">
        <f t="shared" si="1"/>
        <v>4.0215896470967336E-2</v>
      </c>
      <c r="G6" s="60">
        <v>3006</v>
      </c>
      <c r="H6" s="218">
        <f t="shared" si="2"/>
        <v>8.3790940766550526E-2</v>
      </c>
      <c r="I6" s="60">
        <v>814</v>
      </c>
      <c r="J6" s="218">
        <f t="shared" si="3"/>
        <v>5.4277522171100885E-2</v>
      </c>
      <c r="K6" s="60">
        <v>2188</v>
      </c>
      <c r="L6" s="218">
        <f t="shared" si="4"/>
        <v>8.8204466661291628E-2</v>
      </c>
    </row>
    <row r="7" spans="2:12" x14ac:dyDescent="0.2">
      <c r="B7" t="s">
        <v>602</v>
      </c>
      <c r="C7" s="60">
        <v>1830</v>
      </c>
      <c r="D7" s="218">
        <f t="shared" si="0"/>
        <v>6.1680541979844281E-2</v>
      </c>
      <c r="E7" s="60">
        <v>5560</v>
      </c>
      <c r="F7" s="218">
        <f t="shared" si="1"/>
        <v>3.1993187062323417E-2</v>
      </c>
      <c r="G7" s="60">
        <v>1489</v>
      </c>
      <c r="H7" s="218">
        <f t="shared" si="2"/>
        <v>4.1505226480836238E-2</v>
      </c>
      <c r="I7" s="60">
        <v>492</v>
      </c>
      <c r="J7" s="218">
        <f t="shared" si="3"/>
        <v>3.280656131226245E-2</v>
      </c>
      <c r="K7" s="60">
        <v>918</v>
      </c>
      <c r="L7" s="218">
        <f t="shared" si="4"/>
        <v>3.7007175683302425E-2</v>
      </c>
    </row>
    <row r="8" spans="2:12" x14ac:dyDescent="0.2">
      <c r="B8" t="s">
        <v>1137</v>
      </c>
      <c r="C8" s="60">
        <v>1540</v>
      </c>
      <c r="D8" s="218">
        <f t="shared" si="0"/>
        <v>5.190602986281978E-2</v>
      </c>
      <c r="E8" s="60">
        <v>12938</v>
      </c>
      <c r="F8" s="218">
        <f t="shared" si="1"/>
        <v>7.4447455793586401E-2</v>
      </c>
      <c r="G8" s="60">
        <v>1404</v>
      </c>
      <c r="H8" s="218">
        <f t="shared" si="2"/>
        <v>3.9135888501742162E-2</v>
      </c>
      <c r="I8" s="60">
        <v>434</v>
      </c>
      <c r="J8" s="218">
        <f t="shared" si="3"/>
        <v>2.8939121157564845E-2</v>
      </c>
      <c r="K8" s="60">
        <v>987</v>
      </c>
      <c r="L8" s="218">
        <f t="shared" si="4"/>
        <v>3.9788760783681369E-2</v>
      </c>
    </row>
    <row r="9" spans="2:12" x14ac:dyDescent="0.2">
      <c r="B9" t="s">
        <v>583</v>
      </c>
      <c r="C9" s="60">
        <v>899</v>
      </c>
      <c r="D9" s="218">
        <f t="shared" si="0"/>
        <v>3.0300987562775963E-2</v>
      </c>
      <c r="E9" s="60">
        <v>4649</v>
      </c>
      <c r="F9" s="218">
        <f t="shared" si="1"/>
        <v>2.6751137887183737E-2</v>
      </c>
      <c r="G9" s="60">
        <v>1690</v>
      </c>
      <c r="H9" s="218">
        <f t="shared" si="2"/>
        <v>4.7108013937282228E-2</v>
      </c>
      <c r="I9" s="60">
        <v>600</v>
      </c>
      <c r="J9" s="218">
        <f t="shared" si="3"/>
        <v>4.0008001600320066E-2</v>
      </c>
      <c r="K9" s="60">
        <v>942</v>
      </c>
      <c r="L9" s="218">
        <f t="shared" si="4"/>
        <v>3.7974683544303799E-2</v>
      </c>
    </row>
    <row r="10" spans="2:12" x14ac:dyDescent="0.2">
      <c r="B10" t="s">
        <v>884</v>
      </c>
      <c r="C10" s="60">
        <v>538</v>
      </c>
      <c r="D10" s="218">
        <f t="shared" si="0"/>
        <v>1.8133405237790286E-2</v>
      </c>
      <c r="E10" s="60">
        <v>11992</v>
      </c>
      <c r="F10" s="218">
        <f t="shared" si="1"/>
        <v>6.9004010656723458E-2</v>
      </c>
      <c r="G10" s="60">
        <v>1967</v>
      </c>
      <c r="H10" s="218">
        <f t="shared" si="2"/>
        <v>5.4829268292682927E-2</v>
      </c>
      <c r="I10" s="60">
        <v>1283</v>
      </c>
      <c r="J10" s="218">
        <f t="shared" si="3"/>
        <v>8.555044342201773E-2</v>
      </c>
      <c r="K10" s="60">
        <v>1703</v>
      </c>
      <c r="L10" s="218">
        <f t="shared" si="4"/>
        <v>6.8652745303555585E-2</v>
      </c>
    </row>
    <row r="11" spans="2:12" x14ac:dyDescent="0.2">
      <c r="B11" t="s">
        <v>866</v>
      </c>
      <c r="C11" s="60">
        <v>509</v>
      </c>
      <c r="D11" s="218">
        <f t="shared" si="0"/>
        <v>1.7155954026087834E-2</v>
      </c>
      <c r="E11" s="60">
        <v>2702</v>
      </c>
      <c r="F11" s="218">
        <f t="shared" si="1"/>
        <v>1.5547768245035589E-2</v>
      </c>
      <c r="G11" s="60">
        <v>1175</v>
      </c>
      <c r="H11" s="218">
        <f t="shared" si="2"/>
        <v>3.2752613240418116E-2</v>
      </c>
      <c r="I11" s="60">
        <v>321</v>
      </c>
      <c r="J11" s="218">
        <f t="shared" si="3"/>
        <v>2.1404280856171236E-2</v>
      </c>
      <c r="K11" s="60">
        <v>770</v>
      </c>
      <c r="L11" s="218">
        <f t="shared" si="4"/>
        <v>3.1040877207127306E-2</v>
      </c>
    </row>
    <row r="12" spans="2:12" x14ac:dyDescent="0.2">
      <c r="B12" t="s">
        <v>633</v>
      </c>
      <c r="C12" s="60">
        <v>366</v>
      </c>
      <c r="D12" s="218">
        <f t="shared" si="0"/>
        <v>1.2336108395968857E-2</v>
      </c>
      <c r="E12" s="60">
        <v>2380</v>
      </c>
      <c r="F12" s="218">
        <f t="shared" si="1"/>
        <v>1.3694925397181607E-2</v>
      </c>
      <c r="G12" s="60">
        <v>1181</v>
      </c>
      <c r="H12" s="218">
        <f t="shared" si="2"/>
        <v>3.2919860627177701E-2</v>
      </c>
      <c r="I12" s="60">
        <v>430</v>
      </c>
      <c r="J12" s="218">
        <f t="shared" si="3"/>
        <v>2.8672401146896048E-2</v>
      </c>
      <c r="K12" s="60">
        <v>691</v>
      </c>
      <c r="L12" s="218">
        <f t="shared" si="4"/>
        <v>2.7856163831331129E-2</v>
      </c>
    </row>
    <row r="13" spans="2:12" x14ac:dyDescent="0.2">
      <c r="B13" t="s">
        <v>1138</v>
      </c>
      <c r="C13" s="60">
        <v>148</v>
      </c>
      <c r="D13" s="218">
        <f t="shared" si="0"/>
        <v>4.9883717011021608E-3</v>
      </c>
      <c r="E13" s="60">
        <v>1482</v>
      </c>
      <c r="F13" s="218">
        <f t="shared" si="1"/>
        <v>8.5276804363962778E-3</v>
      </c>
      <c r="G13" s="60">
        <v>813</v>
      </c>
      <c r="H13" s="218">
        <f t="shared" si="2"/>
        <v>2.2662020905923345E-2</v>
      </c>
      <c r="I13" s="60">
        <v>153</v>
      </c>
      <c r="J13" s="218">
        <f t="shared" si="3"/>
        <v>1.0202040408081616E-2</v>
      </c>
      <c r="K13" s="60">
        <v>507</v>
      </c>
      <c r="L13" s="218">
        <f t="shared" si="4"/>
        <v>2.0438603563653953E-2</v>
      </c>
    </row>
    <row r="14" spans="2:12" x14ac:dyDescent="0.2">
      <c r="B14" t="s">
        <v>609</v>
      </c>
      <c r="C14" s="60">
        <v>141</v>
      </c>
      <c r="D14" s="218">
        <f t="shared" si="0"/>
        <v>4.7524352017257066E-3</v>
      </c>
      <c r="E14" s="60">
        <v>6554</v>
      </c>
      <c r="F14" s="218">
        <f t="shared" si="1"/>
        <v>3.7712832375263974E-2</v>
      </c>
      <c r="G14" s="60">
        <v>1143</v>
      </c>
      <c r="H14" s="218">
        <f t="shared" si="2"/>
        <v>3.186062717770035E-2</v>
      </c>
      <c r="I14" s="60">
        <v>562</v>
      </c>
      <c r="J14" s="218">
        <f t="shared" si="3"/>
        <v>3.7474161498966457E-2</v>
      </c>
      <c r="K14" s="60">
        <v>835</v>
      </c>
      <c r="L14" s="218">
        <f t="shared" si="4"/>
        <v>3.3661210997339354E-2</v>
      </c>
    </row>
    <row r="15" spans="2:12" x14ac:dyDescent="0.2">
      <c r="B15" t="s">
        <v>1063</v>
      </c>
      <c r="C15" s="94">
        <v>72</v>
      </c>
      <c r="D15" s="227">
        <f t="shared" si="0"/>
        <v>2.4267754221578078E-3</v>
      </c>
      <c r="E15" s="94">
        <v>659</v>
      </c>
      <c r="F15" s="227">
        <f t="shared" si="1"/>
        <v>3.7919982507322184E-3</v>
      </c>
      <c r="G15" s="94">
        <v>41</v>
      </c>
      <c r="H15" s="227">
        <f t="shared" si="2"/>
        <v>1.1428571428571429E-3</v>
      </c>
      <c r="I15" s="94">
        <v>227</v>
      </c>
      <c r="J15" s="227">
        <f t="shared" si="3"/>
        <v>1.5136360605454424E-2</v>
      </c>
      <c r="K15" s="60">
        <v>0</v>
      </c>
      <c r="L15" s="218">
        <f t="shared" si="4"/>
        <v>0</v>
      </c>
    </row>
    <row r="16" spans="2:12" s="31" customFormat="1" x14ac:dyDescent="0.2">
      <c r="B16" s="31" t="s">
        <v>1146</v>
      </c>
      <c r="C16" s="137">
        <f>SUM(C5:C15)</f>
        <v>13825</v>
      </c>
      <c r="D16" s="223">
        <f t="shared" si="0"/>
        <v>0.46597458626849575</v>
      </c>
      <c r="E16" s="137">
        <f t="shared" ref="E16:K16" si="5">SUM(E5:E15)</f>
        <v>71573</v>
      </c>
      <c r="F16" s="223">
        <f t="shared" si="1"/>
        <v>0.41184323338339462</v>
      </c>
      <c r="G16" s="137">
        <f t="shared" si="5"/>
        <v>17673</v>
      </c>
      <c r="H16" s="223">
        <f t="shared" si="2"/>
        <v>0.49262717770034842</v>
      </c>
      <c r="I16" s="137">
        <f t="shared" si="5"/>
        <v>7051</v>
      </c>
      <c r="J16" s="223">
        <f t="shared" si="3"/>
        <v>0.47016069880642797</v>
      </c>
      <c r="K16" s="137">
        <f t="shared" si="5"/>
        <v>11848</v>
      </c>
      <c r="L16" s="223">
        <f t="shared" si="4"/>
        <v>0.47762638071434332</v>
      </c>
    </row>
    <row r="17" spans="2:12" x14ac:dyDescent="0.2">
      <c r="C17" s="60"/>
      <c r="D17" s="218"/>
      <c r="E17" s="60"/>
      <c r="F17" s="218"/>
      <c r="G17" s="60"/>
      <c r="H17" s="218"/>
      <c r="I17" s="60"/>
      <c r="J17" s="218"/>
      <c r="K17" s="60"/>
      <c r="L17" s="218"/>
    </row>
    <row r="18" spans="2:12" x14ac:dyDescent="0.2">
      <c r="B18" t="s">
        <v>612</v>
      </c>
      <c r="C18" s="60">
        <v>3713</v>
      </c>
      <c r="D18" s="218">
        <f t="shared" ref="D18:D24" si="6">C18/$C$26</f>
        <v>0.12514746031211027</v>
      </c>
      <c r="E18" s="60">
        <v>15912</v>
      </c>
      <c r="F18" s="225">
        <f t="shared" ref="F18:F24" si="7">E18/$E$26</f>
        <v>9.1560358369728465E-2</v>
      </c>
      <c r="G18" s="60">
        <v>2556</v>
      </c>
      <c r="H18" s="218">
        <f t="shared" ref="H18:H24" si="8">G18/$G$26</f>
        <v>7.1247386759581879E-2</v>
      </c>
      <c r="I18" s="60">
        <v>620</v>
      </c>
      <c r="J18" s="218">
        <f t="shared" ref="J18:J24" si="9">I18/$I$26</f>
        <v>4.1341601653664066E-2</v>
      </c>
      <c r="K18" s="60">
        <v>2591</v>
      </c>
      <c r="L18" s="218">
        <f t="shared" ref="L18:L24" si="10">K18/$K$26</f>
        <v>0.1044505361606063</v>
      </c>
    </row>
    <row r="19" spans="2:12" x14ac:dyDescent="0.2">
      <c r="B19" t="s">
        <v>700</v>
      </c>
      <c r="C19" s="60">
        <v>2737</v>
      </c>
      <c r="D19" s="218">
        <f t="shared" si="6"/>
        <v>9.2251171256193337E-2</v>
      </c>
      <c r="E19" s="60">
        <v>13501</v>
      </c>
      <c r="F19" s="218">
        <f t="shared" si="7"/>
        <v>7.7687053692163402E-2</v>
      </c>
      <c r="G19" s="60">
        <v>1324</v>
      </c>
      <c r="H19" s="218">
        <f t="shared" si="8"/>
        <v>3.6905923344947737E-2</v>
      </c>
      <c r="I19" s="60">
        <v>568</v>
      </c>
      <c r="J19" s="218">
        <f t="shared" si="9"/>
        <v>3.787424151496966E-2</v>
      </c>
      <c r="K19" s="60">
        <v>678</v>
      </c>
      <c r="L19" s="218">
        <f t="shared" si="10"/>
        <v>2.7332097073288722E-2</v>
      </c>
    </row>
    <row r="20" spans="2:12" x14ac:dyDescent="0.2">
      <c r="B20" t="s">
        <v>1016</v>
      </c>
      <c r="C20" s="60">
        <v>1342</v>
      </c>
      <c r="D20" s="218">
        <f t="shared" si="6"/>
        <v>4.5232397451885807E-2</v>
      </c>
      <c r="E20" s="60">
        <v>2640</v>
      </c>
      <c r="F20" s="218">
        <f t="shared" si="7"/>
        <v>1.5191009684268673E-2</v>
      </c>
      <c r="G20" s="60">
        <v>724</v>
      </c>
      <c r="H20" s="218">
        <f t="shared" si="8"/>
        <v>2.0181184668989546E-2</v>
      </c>
      <c r="I20" s="60">
        <v>179</v>
      </c>
      <c r="J20" s="218">
        <f t="shared" si="9"/>
        <v>1.1935720477428819E-2</v>
      </c>
      <c r="K20" s="60">
        <v>474</v>
      </c>
      <c r="L20" s="218">
        <f t="shared" si="10"/>
        <v>1.9108280254777069E-2</v>
      </c>
    </row>
    <row r="21" spans="2:12" x14ac:dyDescent="0.2">
      <c r="B21" t="s">
        <v>724</v>
      </c>
      <c r="C21" s="60">
        <v>1340</v>
      </c>
      <c r="D21" s="218">
        <f t="shared" si="6"/>
        <v>4.5164987023492531E-2</v>
      </c>
      <c r="E21" s="60">
        <v>15402</v>
      </c>
      <c r="F21" s="218">
        <f t="shared" si="7"/>
        <v>8.8625731498903834E-2</v>
      </c>
      <c r="G21" s="60">
        <v>1808</v>
      </c>
      <c r="H21" s="218">
        <f t="shared" si="8"/>
        <v>5.0397212543554004E-2</v>
      </c>
      <c r="I21" s="60">
        <v>1599</v>
      </c>
      <c r="J21" s="218">
        <f t="shared" si="9"/>
        <v>0.10662132426485298</v>
      </c>
      <c r="K21" s="60">
        <v>1187</v>
      </c>
      <c r="L21" s="218">
        <f t="shared" si="10"/>
        <v>4.7851326292026125E-2</v>
      </c>
    </row>
    <row r="22" spans="2:12" x14ac:dyDescent="0.2">
      <c r="B22" t="s">
        <v>1145</v>
      </c>
      <c r="C22" s="60">
        <v>1118</v>
      </c>
      <c r="D22" s="218">
        <f t="shared" si="6"/>
        <v>3.7682429471839293E-2</v>
      </c>
      <c r="E22" s="60">
        <v>7862</v>
      </c>
      <c r="F22" s="218">
        <f t="shared" si="7"/>
        <v>4.5239287173378905E-2</v>
      </c>
      <c r="G22" s="60">
        <v>657</v>
      </c>
      <c r="H22" s="218">
        <f t="shared" si="8"/>
        <v>1.8313588850174214E-2</v>
      </c>
      <c r="I22" s="60">
        <v>379</v>
      </c>
      <c r="J22" s="218">
        <f t="shared" si="9"/>
        <v>2.5271721010868841E-2</v>
      </c>
      <c r="K22" s="60">
        <v>260</v>
      </c>
      <c r="L22" s="218">
        <f t="shared" si="10"/>
        <v>1.0481335160848182E-2</v>
      </c>
    </row>
    <row r="23" spans="2:12" x14ac:dyDescent="0.2">
      <c r="B23" t="s">
        <v>1158</v>
      </c>
      <c r="C23" s="94">
        <f>C24-SUM(C18:C22)</f>
        <v>5594</v>
      </c>
      <c r="D23" s="227">
        <f t="shared" si="6"/>
        <v>0.18854696821598302</v>
      </c>
      <c r="E23" s="94">
        <f t="shared" ref="E23:K23" si="11">E24-SUM(E18:E22)</f>
        <v>46897</v>
      </c>
      <c r="F23" s="227">
        <f t="shared" si="7"/>
        <v>0.2698533261981621</v>
      </c>
      <c r="G23" s="94">
        <f t="shared" si="11"/>
        <v>11133</v>
      </c>
      <c r="H23" s="227">
        <f t="shared" si="8"/>
        <v>0.31032752613240416</v>
      </c>
      <c r="I23" s="94">
        <f t="shared" si="11"/>
        <v>4601</v>
      </c>
      <c r="J23" s="227">
        <f t="shared" si="9"/>
        <v>0.30679469227178768</v>
      </c>
      <c r="K23" s="60">
        <f t="shared" si="11"/>
        <v>7768</v>
      </c>
      <c r="L23" s="218">
        <f t="shared" si="10"/>
        <v>0.31315004434411031</v>
      </c>
    </row>
    <row r="24" spans="2:12" s="31" customFormat="1" x14ac:dyDescent="0.2">
      <c r="B24" s="31" t="s">
        <v>1147</v>
      </c>
      <c r="C24" s="137">
        <v>15844</v>
      </c>
      <c r="D24" s="223">
        <f t="shared" si="6"/>
        <v>0.53402541373150425</v>
      </c>
      <c r="E24" s="137">
        <v>102214</v>
      </c>
      <c r="F24" s="223">
        <f t="shared" si="7"/>
        <v>0.58815676661660543</v>
      </c>
      <c r="G24" s="137">
        <v>18202</v>
      </c>
      <c r="H24" s="223">
        <f t="shared" si="8"/>
        <v>0.50737282229965153</v>
      </c>
      <c r="I24" s="137">
        <v>7946</v>
      </c>
      <c r="J24" s="223">
        <f t="shared" si="9"/>
        <v>0.52983930119357203</v>
      </c>
      <c r="K24" s="137">
        <v>12958</v>
      </c>
      <c r="L24" s="223">
        <f t="shared" si="10"/>
        <v>0.52237361928565673</v>
      </c>
    </row>
    <row r="25" spans="2:12" x14ac:dyDescent="0.2">
      <c r="D25" s="219"/>
      <c r="F25" s="218"/>
      <c r="H25" s="218"/>
      <c r="J25" s="218"/>
      <c r="L25" s="218"/>
    </row>
    <row r="26" spans="2:12" s="31" customFormat="1" x14ac:dyDescent="0.2">
      <c r="B26" s="31" t="s">
        <v>238</v>
      </c>
      <c r="C26" s="224">
        <f>C24+C16</f>
        <v>29669</v>
      </c>
      <c r="D26" s="228">
        <f t="shared" ref="D26:K26" si="12">D24+D16</f>
        <v>1</v>
      </c>
      <c r="E26" s="224">
        <f t="shared" si="12"/>
        <v>173787</v>
      </c>
      <c r="F26" s="228">
        <f>E26/$E$26</f>
        <v>1</v>
      </c>
      <c r="G26" s="224">
        <f t="shared" si="12"/>
        <v>35875</v>
      </c>
      <c r="H26" s="228">
        <f>G26/$G$26</f>
        <v>1</v>
      </c>
      <c r="I26" s="224">
        <f t="shared" si="12"/>
        <v>14997</v>
      </c>
      <c r="J26" s="228">
        <f>I26/$I$26</f>
        <v>1</v>
      </c>
      <c r="K26" s="137">
        <f t="shared" si="12"/>
        <v>24806</v>
      </c>
      <c r="L26" s="223">
        <f>K26/$K$26</f>
        <v>1</v>
      </c>
    </row>
  </sheetData>
  <sortState ref="B17:J21">
    <sortCondition descending="1" ref="D17:D21"/>
  </sortState>
  <phoneticPr fontId="10" type="noConversion"/>
  <pageMargins left="0.1631496062992126" right="0.1631496062992126" top="0.41314960629921266" bottom="0.8" header="0.5" footer="0.10629921259842522"/>
  <pageSetup paperSize="9" scale="85" orientation="landscape"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showGridLines="0" workbookViewId="0">
      <selection activeCell="B7" sqref="B7"/>
    </sheetView>
  </sheetViews>
  <sheetFormatPr baseColWidth="10" defaultRowHeight="16" x14ac:dyDescent="0.2"/>
  <cols>
    <col min="1" max="1" width="40.83203125" customWidth="1"/>
    <col min="6" max="6" width="4.5" customWidth="1"/>
  </cols>
  <sheetData>
    <row r="1" spans="1:5" x14ac:dyDescent="0.2">
      <c r="A1" s="32" t="s">
        <v>239</v>
      </c>
    </row>
    <row r="2" spans="1:5" ht="39" customHeight="1" x14ac:dyDescent="0.2">
      <c r="A2" s="609" t="s">
        <v>240</v>
      </c>
      <c r="B2" s="609"/>
      <c r="C2" s="609"/>
      <c r="D2" s="609"/>
      <c r="E2" s="609"/>
    </row>
    <row r="4" spans="1:5" x14ac:dyDescent="0.2">
      <c r="B4" s="70" t="s">
        <v>218</v>
      </c>
      <c r="C4" s="70" t="s">
        <v>219</v>
      </c>
      <c r="D4" s="70" t="s">
        <v>220</v>
      </c>
      <c r="E4" s="70" t="s">
        <v>238</v>
      </c>
    </row>
    <row r="5" spans="1:5" x14ac:dyDescent="0.2">
      <c r="A5" t="s">
        <v>232</v>
      </c>
      <c r="B5" s="30">
        <v>1971</v>
      </c>
      <c r="C5" s="30">
        <v>10101</v>
      </c>
      <c r="D5" s="30">
        <v>428</v>
      </c>
      <c r="E5" s="30">
        <f>SUM(B5:D5)</f>
        <v>12500</v>
      </c>
    </row>
    <row r="6" spans="1:5" x14ac:dyDescent="0.2">
      <c r="A6" t="s">
        <v>243</v>
      </c>
      <c r="B6" s="30">
        <f>6166</f>
        <v>6166</v>
      </c>
    </row>
    <row r="7" spans="1:5" x14ac:dyDescent="0.2">
      <c r="A7" t="s">
        <v>233</v>
      </c>
      <c r="B7" s="71">
        <f>B5/B6</f>
        <v>0.31965617904638338</v>
      </c>
      <c r="C7" t="s">
        <v>244</v>
      </c>
    </row>
    <row r="8" spans="1:5" x14ac:dyDescent="0.2">
      <c r="B8" s="43"/>
    </row>
    <row r="9" spans="1:5" x14ac:dyDescent="0.2">
      <c r="A9" t="s">
        <v>234</v>
      </c>
      <c r="B9" s="30">
        <v>3600</v>
      </c>
      <c r="C9" s="60" t="s">
        <v>241</v>
      </c>
    </row>
    <row r="10" spans="1:5" x14ac:dyDescent="0.2">
      <c r="B10" s="30"/>
      <c r="C10" s="60"/>
    </row>
    <row r="11" spans="1:5" x14ac:dyDescent="0.2">
      <c r="A11" t="s">
        <v>235</v>
      </c>
      <c r="B11" s="30">
        <f>B9*B7</f>
        <v>1150.7622445669801</v>
      </c>
      <c r="C11" s="72" t="s">
        <v>245</v>
      </c>
    </row>
    <row r="12" spans="1:5" x14ac:dyDescent="0.2">
      <c r="A12" t="s">
        <v>242</v>
      </c>
      <c r="B12" s="30">
        <f>B11/15</f>
        <v>76.717482971132014</v>
      </c>
      <c r="C12" s="73" t="s">
        <v>246</v>
      </c>
    </row>
    <row r="13" spans="1:5" x14ac:dyDescent="0.2">
      <c r="B13" s="30"/>
    </row>
    <row r="14" spans="1:5" x14ac:dyDescent="0.2">
      <c r="A14" t="s">
        <v>236</v>
      </c>
      <c r="B14" s="30">
        <f>B12*7</f>
        <v>537.02238079792414</v>
      </c>
      <c r="C14" s="60"/>
    </row>
    <row r="15" spans="1:5" x14ac:dyDescent="0.2">
      <c r="A15" t="s">
        <v>237</v>
      </c>
      <c r="B15" s="30">
        <f>B12*5</f>
        <v>383.58741485566009</v>
      </c>
      <c r="C15" s="60"/>
    </row>
    <row r="16" spans="1:5" x14ac:dyDescent="0.2">
      <c r="B16" s="30"/>
      <c r="C16" s="60"/>
    </row>
    <row r="17" spans="1:3" x14ac:dyDescent="0.2">
      <c r="B17" s="60"/>
      <c r="C17" s="60"/>
    </row>
    <row r="18" spans="1:3" x14ac:dyDescent="0.2">
      <c r="A18" t="s">
        <v>247</v>
      </c>
    </row>
    <row r="19" spans="1:3" x14ac:dyDescent="0.2">
      <c r="A19" t="s">
        <v>248</v>
      </c>
    </row>
    <row r="42" spans="1:1" x14ac:dyDescent="0.2">
      <c r="A42">
        <f>3100</f>
        <v>3100</v>
      </c>
    </row>
    <row r="43" spans="1:1" x14ac:dyDescent="0.2">
      <c r="A43">
        <v>5867</v>
      </c>
    </row>
    <row r="44" spans="1:1" x14ac:dyDescent="0.2">
      <c r="A44" s="74">
        <f>A43/A42</f>
        <v>1.8925806451612903</v>
      </c>
    </row>
    <row r="45" spans="1:1" x14ac:dyDescent="0.2">
      <c r="A45" s="69"/>
    </row>
    <row r="49" spans="1:14" x14ac:dyDescent="0.2">
      <c r="A49" t="s">
        <v>221</v>
      </c>
    </row>
    <row r="50" spans="1:14" x14ac:dyDescent="0.2">
      <c r="A50" t="s">
        <v>222</v>
      </c>
    </row>
    <row r="51" spans="1:14" x14ac:dyDescent="0.2">
      <c r="A51" t="s">
        <v>223</v>
      </c>
    </row>
    <row r="52" spans="1:14" x14ac:dyDescent="0.2">
      <c r="A52" t="s">
        <v>224</v>
      </c>
      <c r="N52">
        <v>122</v>
      </c>
    </row>
    <row r="53" spans="1:14" x14ac:dyDescent="0.2">
      <c r="A53" t="s">
        <v>225</v>
      </c>
      <c r="N53">
        <f>N52/7</f>
        <v>17.428571428571427</v>
      </c>
    </row>
    <row r="54" spans="1:14" x14ac:dyDescent="0.2">
      <c r="A54" t="s">
        <v>226</v>
      </c>
    </row>
    <row r="55" spans="1:14" x14ac:dyDescent="0.2">
      <c r="A55" t="s">
        <v>227</v>
      </c>
      <c r="N55">
        <v>5.99</v>
      </c>
    </row>
    <row r="56" spans="1:14" x14ac:dyDescent="0.2">
      <c r="A56" t="s">
        <v>228</v>
      </c>
      <c r="E56">
        <v>604</v>
      </c>
      <c r="N56">
        <f>N55*1.02</f>
        <v>6.1097999999999999</v>
      </c>
    </row>
    <row r="57" spans="1:14" x14ac:dyDescent="0.2">
      <c r="A57" t="s">
        <v>229</v>
      </c>
      <c r="E57">
        <f>E56*0.3</f>
        <v>181.2</v>
      </c>
      <c r="F57">
        <v>3</v>
      </c>
      <c r="G57">
        <f>E57*F57</f>
        <v>543.59999999999991</v>
      </c>
    </row>
    <row r="58" spans="1:14" x14ac:dyDescent="0.2">
      <c r="A58" t="s">
        <v>230</v>
      </c>
      <c r="E58">
        <f>E56*0.15</f>
        <v>90.6</v>
      </c>
      <c r="F58">
        <v>4</v>
      </c>
      <c r="G58">
        <f>E58*F58</f>
        <v>362.4</v>
      </c>
    </row>
    <row r="59" spans="1:14" x14ac:dyDescent="0.2">
      <c r="A59" t="s">
        <v>231</v>
      </c>
      <c r="G59">
        <f>SUM(G57:G58)</f>
        <v>905.99999999999989</v>
      </c>
    </row>
  </sheetData>
  <mergeCells count="1">
    <mergeCell ref="A2:E2"/>
  </mergeCells>
  <pageMargins left="0.75" right="0.75" top="1" bottom="1" header="0.5" footer="0.5"/>
  <pageSetup paperSize="9"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5:X287"/>
  <sheetViews>
    <sheetView showGridLines="0" topLeftCell="A213" workbookViewId="0">
      <selection activeCell="H218" sqref="H218:H229"/>
    </sheetView>
  </sheetViews>
  <sheetFormatPr baseColWidth="10" defaultRowHeight="16" x14ac:dyDescent="0.2"/>
  <cols>
    <col min="2" max="2" width="2" customWidth="1"/>
    <col min="3" max="3" width="79.33203125" bestFit="1" customWidth="1"/>
    <col min="4" max="4" width="39.83203125" bestFit="1" customWidth="1"/>
    <col min="5" max="6" width="9.83203125" customWidth="1"/>
    <col min="7" max="7" width="25.83203125" customWidth="1"/>
    <col min="8" max="8" width="15.6640625" customWidth="1"/>
    <col min="9" max="9" width="9.83203125" customWidth="1"/>
    <col min="10" max="10" width="19" bestFit="1" customWidth="1"/>
    <col min="11" max="11" width="9.83203125" customWidth="1"/>
    <col min="12" max="12" width="11" customWidth="1"/>
  </cols>
  <sheetData>
    <row r="5" spans="3:7" ht="64" x14ac:dyDescent="0.2">
      <c r="C5" s="129" t="s">
        <v>287</v>
      </c>
      <c r="D5" s="130" t="s">
        <v>208</v>
      </c>
      <c r="E5" s="130"/>
      <c r="F5" s="130" t="s">
        <v>285</v>
      </c>
      <c r="G5" s="130" t="s">
        <v>286</v>
      </c>
    </row>
    <row r="6" spans="3:7" ht="9" customHeight="1" x14ac:dyDescent="0.2">
      <c r="C6" s="129"/>
      <c r="D6" s="130"/>
      <c r="E6" s="130"/>
      <c r="F6" s="130"/>
      <c r="G6" s="130"/>
    </row>
    <row r="7" spans="3:7" x14ac:dyDescent="0.2">
      <c r="C7" s="131" t="s">
        <v>292</v>
      </c>
      <c r="D7" s="132">
        <v>50</v>
      </c>
      <c r="E7" s="132"/>
      <c r="F7" s="133">
        <v>3600</v>
      </c>
      <c r="G7" s="133">
        <v>7200</v>
      </c>
    </row>
    <row r="8" spans="3:7" x14ac:dyDescent="0.2">
      <c r="C8" s="131" t="s">
        <v>288</v>
      </c>
      <c r="D8" s="132">
        <v>19</v>
      </c>
      <c r="E8" s="132"/>
      <c r="F8" s="133">
        <v>1706</v>
      </c>
      <c r="G8" s="133">
        <v>3412</v>
      </c>
    </row>
    <row r="9" spans="3:7" x14ac:dyDescent="0.2">
      <c r="C9" s="131" t="s">
        <v>293</v>
      </c>
      <c r="D9" s="132"/>
      <c r="E9" s="132"/>
      <c r="F9" s="133">
        <v>850</v>
      </c>
      <c r="G9" s="133">
        <v>1700</v>
      </c>
    </row>
    <row r="10" spans="3:7" x14ac:dyDescent="0.2">
      <c r="C10" s="131" t="s">
        <v>129</v>
      </c>
      <c r="D10" s="132">
        <v>29</v>
      </c>
      <c r="E10" s="132"/>
      <c r="F10" s="133">
        <v>716</v>
      </c>
      <c r="G10" s="133">
        <v>1432</v>
      </c>
    </row>
    <row r="11" spans="3:7" x14ac:dyDescent="0.2">
      <c r="C11" s="131" t="s">
        <v>262</v>
      </c>
      <c r="D11" s="132">
        <v>43</v>
      </c>
      <c r="E11" s="132"/>
      <c r="F11" s="133">
        <v>484</v>
      </c>
      <c r="G11" s="133">
        <v>968</v>
      </c>
    </row>
    <row r="12" spans="3:7" x14ac:dyDescent="0.2">
      <c r="C12" s="131" t="s">
        <v>289</v>
      </c>
      <c r="D12" s="132">
        <v>46</v>
      </c>
      <c r="E12" s="132"/>
      <c r="F12" s="133">
        <v>249</v>
      </c>
      <c r="G12" s="133">
        <v>498</v>
      </c>
    </row>
    <row r="13" spans="3:7" x14ac:dyDescent="0.2">
      <c r="C13" s="131" t="s">
        <v>290</v>
      </c>
      <c r="D13" s="132">
        <v>53</v>
      </c>
      <c r="E13" s="132"/>
      <c r="F13" s="133">
        <v>400</v>
      </c>
      <c r="G13" s="133">
        <v>800</v>
      </c>
    </row>
    <row r="14" spans="3:7" x14ac:dyDescent="0.2">
      <c r="C14" s="131" t="s">
        <v>265</v>
      </c>
      <c r="D14" s="132">
        <v>35</v>
      </c>
      <c r="E14" s="132"/>
      <c r="F14" s="133">
        <v>345</v>
      </c>
      <c r="G14" s="133">
        <v>690</v>
      </c>
    </row>
    <row r="15" spans="3:7" x14ac:dyDescent="0.2">
      <c r="C15" s="131" t="s">
        <v>263</v>
      </c>
      <c r="D15" s="132">
        <v>45</v>
      </c>
      <c r="E15" s="132"/>
      <c r="F15" s="133">
        <v>330</v>
      </c>
      <c r="G15" s="133">
        <v>660</v>
      </c>
    </row>
    <row r="16" spans="3:7" x14ac:dyDescent="0.2">
      <c r="C16" s="131" t="s">
        <v>295</v>
      </c>
      <c r="D16" s="132"/>
      <c r="E16" s="132"/>
      <c r="F16" s="133">
        <f>SUM(G24:G28)</f>
        <v>701</v>
      </c>
      <c r="G16" s="133">
        <f>SUM(H24:H28)</f>
        <v>1402</v>
      </c>
    </row>
    <row r="17" spans="3:8" x14ac:dyDescent="0.2">
      <c r="C17" s="131"/>
      <c r="D17" s="132"/>
      <c r="E17" s="132"/>
      <c r="F17" s="133"/>
      <c r="G17" s="133"/>
    </row>
    <row r="18" spans="3:8" x14ac:dyDescent="0.2">
      <c r="C18" s="135" t="s">
        <v>209</v>
      </c>
      <c r="D18" s="132"/>
      <c r="E18" s="132"/>
      <c r="F18" s="134">
        <v>9381</v>
      </c>
      <c r="G18" s="134">
        <v>18762</v>
      </c>
    </row>
    <row r="20" spans="3:8" x14ac:dyDescent="0.2">
      <c r="G20" s="60"/>
    </row>
    <row r="24" spans="3:8" x14ac:dyDescent="0.2">
      <c r="C24" t="s">
        <v>294</v>
      </c>
      <c r="F24" s="43"/>
      <c r="G24" s="30">
        <v>210</v>
      </c>
      <c r="H24" s="30">
        <v>420</v>
      </c>
    </row>
    <row r="25" spans="3:8" x14ac:dyDescent="0.2">
      <c r="C25" t="s">
        <v>266</v>
      </c>
      <c r="F25" s="43">
        <v>26</v>
      </c>
      <c r="G25" s="30">
        <v>190</v>
      </c>
      <c r="H25" s="30">
        <v>380</v>
      </c>
    </row>
    <row r="26" spans="3:8" x14ac:dyDescent="0.2">
      <c r="C26" t="s">
        <v>184</v>
      </c>
      <c r="F26" s="43">
        <v>29</v>
      </c>
      <c r="G26" s="30">
        <v>167</v>
      </c>
      <c r="H26" s="30">
        <v>334</v>
      </c>
    </row>
    <row r="27" spans="3:8" x14ac:dyDescent="0.2">
      <c r="C27" t="s">
        <v>291</v>
      </c>
      <c r="F27" s="43">
        <v>31</v>
      </c>
      <c r="G27" s="30">
        <v>111</v>
      </c>
      <c r="H27" s="30">
        <v>222</v>
      </c>
    </row>
    <row r="28" spans="3:8" x14ac:dyDescent="0.2">
      <c r="C28" t="s">
        <v>146</v>
      </c>
      <c r="F28" s="43">
        <v>12</v>
      </c>
      <c r="G28" s="30">
        <v>23</v>
      </c>
      <c r="H28" s="30">
        <v>46</v>
      </c>
    </row>
    <row r="32" spans="3:8" ht="48" x14ac:dyDescent="0.2">
      <c r="C32" s="129" t="s">
        <v>287</v>
      </c>
      <c r="D32" s="129"/>
      <c r="E32" s="129"/>
      <c r="F32" s="130" t="s">
        <v>208</v>
      </c>
      <c r="G32" s="130" t="s">
        <v>285</v>
      </c>
      <c r="H32" s="130" t="s">
        <v>286</v>
      </c>
    </row>
    <row r="33" spans="3:15" x14ac:dyDescent="0.2">
      <c r="C33" s="129"/>
      <c r="D33" s="129"/>
      <c r="E33" s="129"/>
      <c r="F33" s="130"/>
      <c r="G33" s="130"/>
      <c r="H33" s="130"/>
    </row>
    <row r="34" spans="3:15" x14ac:dyDescent="0.2">
      <c r="C34" s="131" t="s">
        <v>296</v>
      </c>
      <c r="D34" s="131"/>
      <c r="E34" s="131"/>
      <c r="F34" s="133">
        <v>40</v>
      </c>
      <c r="G34" s="133">
        <v>1550</v>
      </c>
      <c r="H34" s="133">
        <v>3100</v>
      </c>
    </row>
    <row r="35" spans="3:15" x14ac:dyDescent="0.2">
      <c r="C35" s="131" t="s">
        <v>297</v>
      </c>
      <c r="D35" s="131"/>
      <c r="E35" s="131"/>
      <c r="F35" s="133">
        <v>75</v>
      </c>
      <c r="G35" s="133">
        <v>984</v>
      </c>
      <c r="H35" s="133">
        <v>1968</v>
      </c>
    </row>
    <row r="36" spans="3:15" x14ac:dyDescent="0.2">
      <c r="C36" s="131" t="s">
        <v>298</v>
      </c>
      <c r="D36" s="131"/>
      <c r="E36" s="131"/>
      <c r="F36" s="133">
        <v>68</v>
      </c>
      <c r="G36" s="133">
        <v>890</v>
      </c>
      <c r="H36" s="133">
        <v>1900</v>
      </c>
    </row>
    <row r="37" spans="3:15" x14ac:dyDescent="0.2">
      <c r="C37" s="131" t="s">
        <v>299</v>
      </c>
      <c r="D37" s="131"/>
      <c r="E37" s="131"/>
      <c r="F37" s="133">
        <v>40</v>
      </c>
      <c r="G37" s="133">
        <v>990</v>
      </c>
      <c r="H37" s="133">
        <v>1980</v>
      </c>
    </row>
    <row r="38" spans="3:15" x14ac:dyDescent="0.2">
      <c r="C38" s="131" t="s">
        <v>300</v>
      </c>
      <c r="D38" s="131"/>
      <c r="E38" s="131"/>
      <c r="F38" s="133">
        <v>29</v>
      </c>
      <c r="G38" s="133">
        <v>800</v>
      </c>
      <c r="H38" s="133">
        <v>1800</v>
      </c>
    </row>
    <row r="39" spans="3:15" x14ac:dyDescent="0.2">
      <c r="C39" s="131" t="s">
        <v>301</v>
      </c>
      <c r="D39" s="131"/>
      <c r="E39" s="131"/>
      <c r="F39" s="133">
        <v>55</v>
      </c>
      <c r="G39" s="133">
        <v>792</v>
      </c>
      <c r="H39" s="133">
        <v>1584</v>
      </c>
    </row>
    <row r="40" spans="3:15" x14ac:dyDescent="0.2">
      <c r="C40" s="131" t="s">
        <v>365</v>
      </c>
      <c r="D40" s="131"/>
      <c r="E40" s="131"/>
      <c r="F40" s="133">
        <v>60</v>
      </c>
      <c r="G40" s="133">
        <v>750</v>
      </c>
      <c r="H40" s="133">
        <v>1500</v>
      </c>
    </row>
    <row r="41" spans="3:15" x14ac:dyDescent="0.2">
      <c r="C41" s="131" t="s">
        <v>302</v>
      </c>
      <c r="D41" s="131"/>
      <c r="E41" s="131"/>
      <c r="F41" s="133">
        <v>75</v>
      </c>
      <c r="G41" s="133">
        <v>714</v>
      </c>
      <c r="H41" s="133">
        <v>1428</v>
      </c>
      <c r="L41" s="84"/>
      <c r="M41" s="84"/>
      <c r="N41" s="84"/>
      <c r="O41" s="84"/>
    </row>
    <row r="42" spans="3:15" x14ac:dyDescent="0.2">
      <c r="C42" s="131" t="s">
        <v>303</v>
      </c>
      <c r="D42" s="131"/>
      <c r="E42" s="131"/>
      <c r="F42" s="133">
        <v>58</v>
      </c>
      <c r="G42" s="133">
        <v>575</v>
      </c>
      <c r="H42" s="133">
        <v>1150</v>
      </c>
      <c r="L42" s="84"/>
      <c r="M42" s="84"/>
      <c r="N42" s="84"/>
      <c r="O42" s="84"/>
    </row>
    <row r="43" spans="3:15" x14ac:dyDescent="0.2">
      <c r="C43" s="131" t="s">
        <v>295</v>
      </c>
      <c r="D43" s="131"/>
      <c r="E43" s="131"/>
      <c r="F43" s="138"/>
      <c r="G43" s="133">
        <f>G45-SUM(G34:G42)</f>
        <v>2327</v>
      </c>
      <c r="H43" s="133">
        <f>H45-SUM(H34:H42)</f>
        <v>3460</v>
      </c>
      <c r="L43" s="84"/>
      <c r="M43" s="84"/>
      <c r="N43" s="84"/>
      <c r="O43" s="84"/>
    </row>
    <row r="44" spans="3:15" ht="9" customHeight="1" x14ac:dyDescent="0.2">
      <c r="C44" s="131"/>
      <c r="D44" s="131"/>
      <c r="E44" s="131"/>
      <c r="F44" s="131"/>
      <c r="G44" s="131"/>
      <c r="H44" s="131"/>
      <c r="L44" s="84"/>
      <c r="M44" s="84"/>
      <c r="N44" s="84"/>
      <c r="O44" s="84"/>
    </row>
    <row r="45" spans="3:15" x14ac:dyDescent="0.2">
      <c r="C45" s="135" t="s">
        <v>209</v>
      </c>
      <c r="D45" s="135"/>
      <c r="E45" s="135"/>
      <c r="F45" s="136"/>
      <c r="G45" s="134">
        <v>10372</v>
      </c>
      <c r="H45" s="134">
        <v>19870</v>
      </c>
      <c r="L45" s="84"/>
      <c r="M45" s="84"/>
      <c r="N45" s="84"/>
      <c r="O45" s="84"/>
    </row>
    <row r="46" spans="3:15" x14ac:dyDescent="0.2">
      <c r="C46" s="131"/>
      <c r="D46" s="131"/>
      <c r="E46" s="131"/>
      <c r="F46" s="131"/>
      <c r="G46" s="131"/>
      <c r="H46" s="131"/>
    </row>
    <row r="48" spans="3:15" ht="48" x14ac:dyDescent="0.2">
      <c r="C48" s="129" t="s">
        <v>287</v>
      </c>
      <c r="D48" s="129"/>
      <c r="E48" s="129"/>
      <c r="F48" s="130" t="s">
        <v>208</v>
      </c>
      <c r="G48" s="130" t="s">
        <v>285</v>
      </c>
      <c r="H48" s="130" t="s">
        <v>286</v>
      </c>
    </row>
    <row r="49" spans="3:8" ht="5" customHeight="1" x14ac:dyDescent="0.2">
      <c r="C49" s="129"/>
      <c r="D49" s="129"/>
      <c r="E49" s="129"/>
      <c r="F49" s="130"/>
      <c r="G49" s="130"/>
      <c r="H49" s="130"/>
    </row>
    <row r="50" spans="3:8" x14ac:dyDescent="0.2">
      <c r="C50" s="131" t="s">
        <v>305</v>
      </c>
      <c r="D50" s="131"/>
      <c r="E50" s="131"/>
      <c r="F50" s="132">
        <v>50</v>
      </c>
      <c r="G50" s="133">
        <v>3600</v>
      </c>
      <c r="H50" s="133">
        <v>7200</v>
      </c>
    </row>
    <row r="51" spans="3:8" x14ac:dyDescent="0.2">
      <c r="C51" s="131" t="s">
        <v>308</v>
      </c>
      <c r="D51" s="131"/>
      <c r="E51" s="131"/>
      <c r="F51" s="133">
        <v>40</v>
      </c>
      <c r="G51" s="133">
        <v>1550</v>
      </c>
      <c r="H51" s="133">
        <v>3100</v>
      </c>
    </row>
    <row r="52" spans="3:8" x14ac:dyDescent="0.2">
      <c r="C52" s="131" t="s">
        <v>309</v>
      </c>
      <c r="D52" s="131"/>
      <c r="E52" s="131"/>
      <c r="F52" s="132">
        <v>42</v>
      </c>
      <c r="G52" s="133">
        <v>909</v>
      </c>
      <c r="H52" s="133">
        <v>1980</v>
      </c>
    </row>
    <row r="53" spans="3:8" x14ac:dyDescent="0.2">
      <c r="C53" s="131" t="s">
        <v>306</v>
      </c>
      <c r="D53" s="131"/>
      <c r="E53" s="131"/>
      <c r="F53" s="133">
        <v>75</v>
      </c>
      <c r="G53" s="133">
        <v>984</v>
      </c>
      <c r="H53" s="133">
        <v>1968</v>
      </c>
    </row>
    <row r="54" spans="3:8" x14ac:dyDescent="0.2">
      <c r="C54" s="131" t="s">
        <v>307</v>
      </c>
      <c r="D54" s="131"/>
      <c r="E54" s="131"/>
      <c r="F54" s="133">
        <v>68</v>
      </c>
      <c r="G54" s="133">
        <v>890</v>
      </c>
      <c r="H54" s="133">
        <v>1900</v>
      </c>
    </row>
    <row r="55" spans="3:8" x14ac:dyDescent="0.2">
      <c r="C55" s="131" t="s">
        <v>293</v>
      </c>
      <c r="D55" s="131"/>
      <c r="E55" s="131"/>
      <c r="F55" s="132" t="s">
        <v>310</v>
      </c>
      <c r="G55" s="133">
        <v>850</v>
      </c>
      <c r="H55" s="133">
        <v>1700</v>
      </c>
    </row>
    <row r="56" spans="3:8" x14ac:dyDescent="0.2">
      <c r="C56" s="131" t="s">
        <v>300</v>
      </c>
      <c r="D56" s="131"/>
      <c r="E56" s="131"/>
      <c r="F56" s="133">
        <v>29</v>
      </c>
      <c r="G56" s="133">
        <v>800</v>
      </c>
      <c r="H56" s="133">
        <v>1800</v>
      </c>
    </row>
    <row r="57" spans="3:8" x14ac:dyDescent="0.2">
      <c r="C57" s="131" t="s">
        <v>301</v>
      </c>
      <c r="D57" s="131"/>
      <c r="E57" s="131"/>
      <c r="F57" s="133">
        <v>55</v>
      </c>
      <c r="G57" s="133">
        <v>792</v>
      </c>
      <c r="H57" s="133">
        <v>1584</v>
      </c>
    </row>
    <row r="58" spans="3:8" x14ac:dyDescent="0.2">
      <c r="C58" s="131" t="s">
        <v>302</v>
      </c>
      <c r="D58" s="131"/>
      <c r="E58" s="131"/>
      <c r="F58" s="133">
        <v>75</v>
      </c>
      <c r="G58" s="133">
        <v>714</v>
      </c>
      <c r="H58" s="133">
        <v>1428</v>
      </c>
    </row>
    <row r="59" spans="3:8" x14ac:dyDescent="0.2">
      <c r="C59" s="131" t="s">
        <v>260</v>
      </c>
      <c r="D59" s="131"/>
      <c r="E59" s="131"/>
      <c r="F59" s="133">
        <v>58</v>
      </c>
      <c r="G59" s="133">
        <v>575</v>
      </c>
      <c r="H59" s="133">
        <v>1150</v>
      </c>
    </row>
    <row r="60" spans="3:8" ht="5" customHeight="1" x14ac:dyDescent="0.2">
      <c r="C60" s="131"/>
      <c r="D60" s="131"/>
      <c r="E60" s="131"/>
      <c r="F60" s="133"/>
      <c r="G60" s="133"/>
      <c r="H60" s="133"/>
    </row>
    <row r="61" spans="3:8" x14ac:dyDescent="0.2">
      <c r="C61" s="135" t="s">
        <v>209</v>
      </c>
      <c r="D61" s="135"/>
      <c r="E61" s="135"/>
      <c r="F61" s="136"/>
      <c r="G61" s="134">
        <f>SUM(G50:G60)</f>
        <v>11664</v>
      </c>
      <c r="H61" s="134">
        <f>SUM(H50:H60)</f>
        <v>23810</v>
      </c>
    </row>
    <row r="64" spans="3:8" ht="48" x14ac:dyDescent="0.2">
      <c r="C64" s="129" t="s">
        <v>287</v>
      </c>
      <c r="D64" s="129"/>
      <c r="E64" s="129"/>
      <c r="F64" s="130" t="s">
        <v>208</v>
      </c>
      <c r="G64" s="130" t="s">
        <v>285</v>
      </c>
      <c r="H64" s="130" t="s">
        <v>286</v>
      </c>
    </row>
    <row r="65" spans="3:8" x14ac:dyDescent="0.2">
      <c r="C65" s="129"/>
      <c r="D65" s="129"/>
      <c r="E65" s="129"/>
      <c r="F65" s="130"/>
      <c r="G65" s="130"/>
      <c r="H65" s="130"/>
    </row>
    <row r="66" spans="3:8" x14ac:dyDescent="0.2">
      <c r="C66" s="131" t="s">
        <v>306</v>
      </c>
      <c r="D66" s="131"/>
      <c r="E66" s="131"/>
      <c r="F66" s="133">
        <v>75</v>
      </c>
      <c r="G66" s="133">
        <v>984</v>
      </c>
      <c r="H66" s="133">
        <v>1968</v>
      </c>
    </row>
    <row r="67" spans="3:8" x14ac:dyDescent="0.2">
      <c r="C67" s="131" t="s">
        <v>302</v>
      </c>
      <c r="D67" s="131"/>
      <c r="E67" s="131"/>
      <c r="F67" s="133">
        <v>71</v>
      </c>
      <c r="G67" s="133">
        <v>714</v>
      </c>
      <c r="H67" s="133">
        <v>1428</v>
      </c>
    </row>
    <row r="68" spans="3:8" x14ac:dyDescent="0.2">
      <c r="C68" s="131" t="s">
        <v>307</v>
      </c>
      <c r="D68" s="131"/>
      <c r="E68" s="131"/>
      <c r="F68" s="133">
        <v>68</v>
      </c>
      <c r="G68" s="133">
        <v>890</v>
      </c>
      <c r="H68" s="133">
        <v>1900</v>
      </c>
    </row>
    <row r="69" spans="3:8" x14ac:dyDescent="0.2">
      <c r="C69" s="131" t="s">
        <v>260</v>
      </c>
      <c r="D69" s="131"/>
      <c r="E69" s="131"/>
      <c r="F69" s="133">
        <v>58</v>
      </c>
      <c r="G69" s="133">
        <v>575</v>
      </c>
      <c r="H69" s="133">
        <v>1150</v>
      </c>
    </row>
    <row r="70" spans="3:8" x14ac:dyDescent="0.2">
      <c r="C70" s="131" t="s">
        <v>301</v>
      </c>
      <c r="D70" s="131"/>
      <c r="E70" s="131"/>
      <c r="F70" s="133">
        <v>55</v>
      </c>
      <c r="G70" s="133">
        <v>792</v>
      </c>
      <c r="H70" s="133">
        <v>1584</v>
      </c>
    </row>
    <row r="71" spans="3:8" x14ac:dyDescent="0.2">
      <c r="C71" s="131" t="s">
        <v>305</v>
      </c>
      <c r="D71" s="131"/>
      <c r="E71" s="131"/>
      <c r="F71" s="132">
        <v>50</v>
      </c>
      <c r="G71" s="133">
        <v>3600</v>
      </c>
      <c r="H71" s="133">
        <v>7200</v>
      </c>
    </row>
    <row r="72" spans="3:8" x14ac:dyDescent="0.2">
      <c r="C72" s="131" t="s">
        <v>309</v>
      </c>
      <c r="D72" s="131"/>
      <c r="E72" s="131"/>
      <c r="F72" s="132">
        <v>42</v>
      </c>
      <c r="G72" s="133">
        <v>909</v>
      </c>
      <c r="H72" s="133">
        <v>1980</v>
      </c>
    </row>
    <row r="73" spans="3:8" x14ac:dyDescent="0.2">
      <c r="C73" s="131" t="s">
        <v>308</v>
      </c>
      <c r="D73" s="131"/>
      <c r="E73" s="131"/>
      <c r="F73" s="133">
        <v>40</v>
      </c>
      <c r="G73" s="133">
        <v>1550</v>
      </c>
      <c r="H73" s="133">
        <v>3100</v>
      </c>
    </row>
    <row r="74" spans="3:8" x14ac:dyDescent="0.2">
      <c r="C74" s="131" t="s">
        <v>265</v>
      </c>
      <c r="D74" s="131"/>
      <c r="E74" s="131"/>
      <c r="F74" s="132">
        <v>35</v>
      </c>
      <c r="G74" s="133">
        <v>345</v>
      </c>
      <c r="H74" s="133">
        <v>690</v>
      </c>
    </row>
    <row r="75" spans="3:8" x14ac:dyDescent="0.2">
      <c r="C75" s="131" t="s">
        <v>288</v>
      </c>
      <c r="D75" s="131"/>
      <c r="E75" s="131"/>
      <c r="F75" s="132">
        <v>19</v>
      </c>
      <c r="G75" s="133">
        <v>1706</v>
      </c>
      <c r="H75" s="133">
        <v>3412</v>
      </c>
    </row>
    <row r="76" spans="3:8" x14ac:dyDescent="0.2">
      <c r="C76" s="131"/>
      <c r="D76" s="131"/>
      <c r="E76" s="131"/>
      <c r="F76" s="133"/>
      <c r="G76" s="133"/>
      <c r="H76" s="133"/>
    </row>
    <row r="77" spans="3:8" x14ac:dyDescent="0.2">
      <c r="C77" s="135" t="s">
        <v>209</v>
      </c>
      <c r="D77" s="135"/>
      <c r="E77" s="135"/>
      <c r="F77" s="136"/>
      <c r="G77" s="134">
        <v>12065</v>
      </c>
      <c r="H77" s="134">
        <v>24412</v>
      </c>
    </row>
    <row r="79" spans="3:8" ht="48" x14ac:dyDescent="0.2">
      <c r="C79" s="129" t="s">
        <v>287</v>
      </c>
      <c r="D79" s="129"/>
      <c r="E79" s="129"/>
      <c r="F79" s="130" t="s">
        <v>208</v>
      </c>
      <c r="G79" s="130" t="s">
        <v>285</v>
      </c>
      <c r="H79" s="130" t="s">
        <v>286</v>
      </c>
    </row>
    <row r="80" spans="3:8" ht="10" customHeight="1" x14ac:dyDescent="0.2">
      <c r="C80" s="129"/>
      <c r="D80" s="129"/>
      <c r="E80" s="129"/>
      <c r="F80" s="130"/>
      <c r="G80" s="130"/>
      <c r="H80" s="130"/>
    </row>
    <row r="81" spans="2:9" x14ac:dyDescent="0.2">
      <c r="C81" s="131" t="s">
        <v>443</v>
      </c>
      <c r="D81" s="131"/>
      <c r="E81" s="131"/>
      <c r="F81" s="132">
        <v>50</v>
      </c>
      <c r="G81" s="133">
        <v>3600</v>
      </c>
      <c r="H81" s="133">
        <v>7200</v>
      </c>
    </row>
    <row r="82" spans="2:9" x14ac:dyDescent="0.2">
      <c r="C82" s="131" t="s">
        <v>288</v>
      </c>
      <c r="D82" s="131"/>
      <c r="E82" s="131"/>
      <c r="F82" s="132">
        <v>19</v>
      </c>
      <c r="G82" s="133">
        <v>1706</v>
      </c>
      <c r="H82" s="133">
        <v>3412</v>
      </c>
    </row>
    <row r="83" spans="2:9" x14ac:dyDescent="0.2">
      <c r="C83" s="131" t="s">
        <v>179</v>
      </c>
      <c r="D83" s="131"/>
      <c r="E83" s="131"/>
      <c r="F83" s="133">
        <v>40</v>
      </c>
      <c r="G83" s="133">
        <v>1550</v>
      </c>
      <c r="H83" s="133">
        <v>3100</v>
      </c>
    </row>
    <row r="84" spans="2:9" x14ac:dyDescent="0.2">
      <c r="C84" s="131" t="s">
        <v>434</v>
      </c>
      <c r="D84" s="131"/>
      <c r="E84" s="131"/>
      <c r="F84" s="133">
        <v>75</v>
      </c>
      <c r="G84" s="133">
        <v>984</v>
      </c>
      <c r="H84" s="133">
        <v>1968</v>
      </c>
    </row>
    <row r="85" spans="2:9" x14ac:dyDescent="0.2">
      <c r="C85" s="131" t="s">
        <v>178</v>
      </c>
      <c r="D85" s="131"/>
      <c r="E85" s="131"/>
      <c r="F85" s="132">
        <v>42</v>
      </c>
      <c r="G85" s="133">
        <v>909</v>
      </c>
      <c r="H85" s="133">
        <v>1818</v>
      </c>
    </row>
    <row r="86" spans="2:9" x14ac:dyDescent="0.2">
      <c r="C86" s="131" t="s">
        <v>298</v>
      </c>
      <c r="D86" s="131"/>
      <c r="E86" s="131"/>
      <c r="F86" s="133">
        <v>68</v>
      </c>
      <c r="G86" s="133">
        <v>888</v>
      </c>
      <c r="H86" s="133">
        <v>1776</v>
      </c>
    </row>
    <row r="87" spans="2:9" x14ac:dyDescent="0.2">
      <c r="C87" s="131" t="s">
        <v>442</v>
      </c>
      <c r="D87" s="131"/>
      <c r="E87" s="131"/>
      <c r="F87" s="132" t="s">
        <v>310</v>
      </c>
      <c r="G87" s="133" t="s">
        <v>444</v>
      </c>
      <c r="H87" s="133">
        <v>1700</v>
      </c>
    </row>
    <row r="88" spans="2:9" x14ac:dyDescent="0.2">
      <c r="C88" s="131" t="s">
        <v>300</v>
      </c>
      <c r="D88" s="131"/>
      <c r="E88" s="131"/>
      <c r="F88" s="133">
        <v>29</v>
      </c>
      <c r="G88" s="133">
        <v>800</v>
      </c>
      <c r="H88" s="133">
        <v>1600</v>
      </c>
    </row>
    <row r="89" spans="2:9" x14ac:dyDescent="0.2">
      <c r="C89" s="131" t="s">
        <v>301</v>
      </c>
      <c r="D89" s="131"/>
      <c r="E89" s="131"/>
      <c r="F89" s="133">
        <v>55</v>
      </c>
      <c r="G89" s="133">
        <v>756</v>
      </c>
      <c r="H89" s="133">
        <v>1512</v>
      </c>
    </row>
    <row r="90" spans="2:9" x14ac:dyDescent="0.2">
      <c r="C90" s="131" t="s">
        <v>302</v>
      </c>
      <c r="D90" s="131"/>
      <c r="E90" s="131"/>
      <c r="F90" s="133">
        <v>71</v>
      </c>
      <c r="G90" s="133">
        <v>714</v>
      </c>
      <c r="H90" s="133">
        <v>1428</v>
      </c>
    </row>
    <row r="91" spans="2:9" ht="10" customHeight="1" x14ac:dyDescent="0.2">
      <c r="C91" s="131"/>
      <c r="D91" s="131"/>
      <c r="E91" s="131"/>
      <c r="F91" s="133"/>
      <c r="G91" s="133"/>
      <c r="H91" s="133"/>
    </row>
    <row r="92" spans="2:9" x14ac:dyDescent="0.2">
      <c r="C92" s="135" t="s">
        <v>209</v>
      </c>
      <c r="D92" s="135"/>
      <c r="E92" s="135"/>
      <c r="F92" s="136"/>
      <c r="G92" s="134">
        <f>SUM(G81:G90)</f>
        <v>11907</v>
      </c>
      <c r="H92" s="134">
        <f>SUM(H81:H90)</f>
        <v>25514</v>
      </c>
    </row>
    <row r="96" spans="2:9" ht="81" x14ac:dyDescent="0.25">
      <c r="B96" s="158"/>
      <c r="C96" s="51"/>
      <c r="D96" s="231" t="s">
        <v>431</v>
      </c>
      <c r="E96" s="231"/>
      <c r="F96" s="230" t="s">
        <v>208</v>
      </c>
      <c r="G96" s="230" t="s">
        <v>510</v>
      </c>
      <c r="H96" s="230" t="s">
        <v>211</v>
      </c>
      <c r="I96" s="230" t="s">
        <v>212</v>
      </c>
    </row>
    <row r="97" spans="2:9" ht="9" customHeight="1" x14ac:dyDescent="0.25">
      <c r="B97" s="159"/>
      <c r="C97" s="52"/>
      <c r="D97" s="52"/>
      <c r="E97" s="52"/>
      <c r="F97" s="52"/>
      <c r="H97" s="160"/>
      <c r="I97" s="160"/>
    </row>
    <row r="98" spans="2:9" ht="21" x14ac:dyDescent="0.2">
      <c r="B98" s="161" t="s">
        <v>445</v>
      </c>
      <c r="C98" s="54"/>
      <c r="D98" s="54"/>
      <c r="E98" s="54"/>
      <c r="F98" s="162"/>
      <c r="G98" s="43"/>
      <c r="H98" s="232">
        <f>'Ward Analysis'!O203</f>
        <v>21069</v>
      </c>
      <c r="I98" s="232">
        <f>'Ward Analysis'!Q203</f>
        <v>47208</v>
      </c>
    </row>
    <row r="99" spans="2:9" ht="9" customHeight="1" x14ac:dyDescent="0.25">
      <c r="B99" s="158"/>
      <c r="C99" s="51"/>
      <c r="D99" s="51"/>
      <c r="E99" s="51"/>
      <c r="F99" s="163"/>
      <c r="G99" s="164"/>
      <c r="H99" s="236"/>
      <c r="I99" s="43"/>
    </row>
    <row r="100" spans="2:9" ht="21" x14ac:dyDescent="0.25">
      <c r="B100" s="165" t="s">
        <v>453</v>
      </c>
      <c r="C100" s="51"/>
      <c r="D100" s="51"/>
      <c r="E100" s="51"/>
      <c r="F100" s="164"/>
      <c r="G100" s="164"/>
      <c r="H100" s="157"/>
    </row>
    <row r="101" spans="2:9" ht="21" x14ac:dyDescent="0.25">
      <c r="B101" s="49"/>
      <c r="C101" s="229" t="s">
        <v>472</v>
      </c>
      <c r="D101" s="229" t="s">
        <v>457</v>
      </c>
      <c r="E101" s="229"/>
      <c r="F101" s="188">
        <v>50</v>
      </c>
      <c r="G101" s="188">
        <v>1700</v>
      </c>
      <c r="H101" s="237">
        <v>3610</v>
      </c>
      <c r="I101" s="229">
        <v>7220</v>
      </c>
    </row>
    <row r="102" spans="2:9" ht="21" x14ac:dyDescent="0.25">
      <c r="B102" s="165"/>
      <c r="C102" s="229" t="s">
        <v>1166</v>
      </c>
      <c r="D102" s="229" t="s">
        <v>446</v>
      </c>
      <c r="E102" s="229"/>
      <c r="F102" s="188">
        <v>26</v>
      </c>
      <c r="G102" s="188">
        <v>887</v>
      </c>
      <c r="H102" s="237">
        <v>1706</v>
      </c>
      <c r="I102" s="229">
        <v>3412</v>
      </c>
    </row>
    <row r="103" spans="2:9" ht="21" x14ac:dyDescent="0.25">
      <c r="B103" s="165"/>
      <c r="C103" s="229" t="s">
        <v>296</v>
      </c>
      <c r="D103" s="229" t="s">
        <v>456</v>
      </c>
      <c r="E103" s="229"/>
      <c r="F103" s="188">
        <v>40</v>
      </c>
      <c r="G103" s="188"/>
      <c r="H103" s="237">
        <v>1550</v>
      </c>
      <c r="I103" s="229">
        <v>3100</v>
      </c>
    </row>
    <row r="104" spans="2:9" ht="21" x14ac:dyDescent="0.25">
      <c r="B104" s="49"/>
      <c r="C104" s="229" t="s">
        <v>448</v>
      </c>
      <c r="D104" s="229" t="s">
        <v>465</v>
      </c>
      <c r="E104" s="229"/>
      <c r="F104" s="188">
        <v>38</v>
      </c>
      <c r="G104" s="188"/>
      <c r="H104" s="237">
        <v>1500</v>
      </c>
      <c r="I104" s="229">
        <v>3000</v>
      </c>
    </row>
    <row r="105" spans="2:9" ht="21" x14ac:dyDescent="0.25">
      <c r="B105" s="165"/>
      <c r="C105" s="229" t="s">
        <v>434</v>
      </c>
      <c r="D105" s="229" t="s">
        <v>454</v>
      </c>
      <c r="E105" s="229"/>
      <c r="F105" s="188">
        <v>75</v>
      </c>
      <c r="G105" s="188">
        <v>5803</v>
      </c>
      <c r="H105" s="237">
        <v>984</v>
      </c>
      <c r="I105" s="229">
        <v>1968</v>
      </c>
    </row>
    <row r="106" spans="2:9" ht="21" x14ac:dyDescent="0.25">
      <c r="B106" s="165"/>
      <c r="C106" s="229" t="s">
        <v>302</v>
      </c>
      <c r="D106" s="229" t="s">
        <v>1167</v>
      </c>
      <c r="E106" s="229"/>
      <c r="F106" s="188">
        <v>67</v>
      </c>
      <c r="G106" s="188"/>
      <c r="H106" s="237">
        <v>900</v>
      </c>
      <c r="I106" s="229">
        <v>1800</v>
      </c>
    </row>
    <row r="107" spans="2:9" ht="21" x14ac:dyDescent="0.25">
      <c r="B107" s="165"/>
      <c r="C107" s="229" t="s">
        <v>178</v>
      </c>
      <c r="D107" s="229" t="s">
        <v>1148</v>
      </c>
      <c r="E107" s="229"/>
      <c r="F107" s="188">
        <v>42</v>
      </c>
      <c r="G107" s="188">
        <v>2492</v>
      </c>
      <c r="H107" s="237">
        <v>909</v>
      </c>
      <c r="I107" s="229">
        <v>1818</v>
      </c>
    </row>
    <row r="108" spans="2:9" ht="21" x14ac:dyDescent="0.25">
      <c r="B108" s="165"/>
      <c r="C108" s="229" t="s">
        <v>298</v>
      </c>
      <c r="D108" s="229" t="s">
        <v>455</v>
      </c>
      <c r="E108" s="229"/>
      <c r="F108" s="188">
        <v>68</v>
      </c>
      <c r="G108" s="188">
        <v>2267</v>
      </c>
      <c r="H108" s="237">
        <v>888</v>
      </c>
      <c r="I108" s="229">
        <v>1776</v>
      </c>
    </row>
    <row r="109" spans="2:9" ht="21" x14ac:dyDescent="0.25">
      <c r="B109" s="49"/>
      <c r="C109" s="229" t="s">
        <v>442</v>
      </c>
      <c r="D109" s="229" t="s">
        <v>412</v>
      </c>
      <c r="E109" s="229"/>
      <c r="F109" s="188">
        <v>23</v>
      </c>
      <c r="G109" s="188"/>
      <c r="H109" s="237">
        <v>850</v>
      </c>
      <c r="I109" s="229">
        <v>1700</v>
      </c>
    </row>
    <row r="110" spans="2:9" ht="21" x14ac:dyDescent="0.25">
      <c r="B110" s="49"/>
      <c r="C110" s="229" t="s">
        <v>476</v>
      </c>
      <c r="D110" s="229" t="s">
        <v>447</v>
      </c>
      <c r="E110" s="229"/>
      <c r="F110" s="188">
        <v>30</v>
      </c>
      <c r="G110" s="188"/>
      <c r="H110" s="237">
        <v>834</v>
      </c>
      <c r="I110" s="229">
        <v>1668</v>
      </c>
    </row>
    <row r="111" spans="2:9" ht="21" x14ac:dyDescent="0.25">
      <c r="B111" s="165"/>
      <c r="C111" s="229" t="s">
        <v>300</v>
      </c>
      <c r="D111" s="229" t="s">
        <v>456</v>
      </c>
      <c r="E111" s="229"/>
      <c r="F111" s="188">
        <v>28</v>
      </c>
      <c r="G111" s="188"/>
      <c r="H111" s="237">
        <v>800</v>
      </c>
      <c r="I111" s="229">
        <v>1600</v>
      </c>
    </row>
    <row r="112" spans="2:9" ht="21" x14ac:dyDescent="0.25">
      <c r="B112" s="165"/>
      <c r="C112" s="229" t="s">
        <v>301</v>
      </c>
      <c r="D112" s="229" t="s">
        <v>412</v>
      </c>
      <c r="E112" s="229"/>
      <c r="F112" s="188">
        <v>55</v>
      </c>
      <c r="G112" s="188">
        <v>3357</v>
      </c>
      <c r="H112" s="237">
        <v>756</v>
      </c>
      <c r="I112" s="229">
        <v>1512</v>
      </c>
    </row>
    <row r="113" spans="2:9" ht="21" x14ac:dyDescent="0.25">
      <c r="B113" s="49"/>
      <c r="C113" s="229" t="s">
        <v>129</v>
      </c>
      <c r="D113" s="229" t="s">
        <v>76</v>
      </c>
      <c r="E113" s="229"/>
      <c r="F113" s="188">
        <v>29</v>
      </c>
      <c r="G113" s="188"/>
      <c r="H113" s="237">
        <v>716</v>
      </c>
      <c r="I113" s="229">
        <v>1432</v>
      </c>
    </row>
    <row r="114" spans="2:9" ht="21" x14ac:dyDescent="0.25">
      <c r="B114" s="165"/>
      <c r="C114" s="229" t="s">
        <v>1165</v>
      </c>
      <c r="D114" s="229" t="s">
        <v>456</v>
      </c>
      <c r="E114" s="229"/>
      <c r="F114" s="188">
        <v>60</v>
      </c>
      <c r="G114" s="188"/>
      <c r="H114" s="237">
        <v>712</v>
      </c>
      <c r="I114" s="229">
        <v>1424</v>
      </c>
    </row>
    <row r="115" spans="2:9" ht="21" x14ac:dyDescent="0.25">
      <c r="B115" s="165"/>
      <c r="C115" s="229" t="s">
        <v>1136</v>
      </c>
      <c r="D115" s="229" t="s">
        <v>457</v>
      </c>
      <c r="E115" s="229"/>
      <c r="F115" s="188">
        <v>58</v>
      </c>
      <c r="G115" s="188">
        <v>2738</v>
      </c>
      <c r="H115" s="237">
        <v>575</v>
      </c>
      <c r="I115" s="229">
        <v>1150</v>
      </c>
    </row>
    <row r="116" spans="2:9" ht="21" x14ac:dyDescent="0.25">
      <c r="B116" s="165"/>
      <c r="C116" s="229" t="s">
        <v>435</v>
      </c>
      <c r="D116" s="229" t="s">
        <v>446</v>
      </c>
      <c r="E116" s="229"/>
      <c r="F116" s="188">
        <v>32</v>
      </c>
      <c r="G116" s="188"/>
      <c r="H116" s="237">
        <v>546</v>
      </c>
      <c r="I116" s="229">
        <v>1092</v>
      </c>
    </row>
    <row r="117" spans="2:9" ht="21" x14ac:dyDescent="0.25">
      <c r="B117" s="165"/>
      <c r="C117" s="229" t="s">
        <v>1162</v>
      </c>
      <c r="D117" s="229" t="s">
        <v>460</v>
      </c>
      <c r="E117" s="229"/>
      <c r="F117" s="188">
        <v>45</v>
      </c>
      <c r="G117" s="188"/>
      <c r="H117" s="237">
        <v>484</v>
      </c>
      <c r="I117" s="229">
        <v>968</v>
      </c>
    </row>
    <row r="118" spans="2:9" ht="21" x14ac:dyDescent="0.25">
      <c r="B118" s="165"/>
      <c r="C118" s="229" t="s">
        <v>450</v>
      </c>
      <c r="D118" s="229" t="s">
        <v>446</v>
      </c>
      <c r="E118" s="229"/>
      <c r="F118" s="188">
        <v>43</v>
      </c>
      <c r="G118" s="188">
        <v>1429</v>
      </c>
      <c r="H118" s="237">
        <v>484</v>
      </c>
      <c r="I118" s="229">
        <v>968</v>
      </c>
    </row>
    <row r="119" spans="2:9" ht="21" x14ac:dyDescent="0.25">
      <c r="B119" s="165"/>
      <c r="C119" s="229" t="s">
        <v>466</v>
      </c>
      <c r="D119" s="229" t="s">
        <v>455</v>
      </c>
      <c r="E119" s="229"/>
      <c r="F119" s="188">
        <v>53</v>
      </c>
      <c r="G119" s="188">
        <v>2850</v>
      </c>
      <c r="H119" s="237">
        <v>423</v>
      </c>
      <c r="I119" s="229">
        <v>846</v>
      </c>
    </row>
    <row r="120" spans="2:9" ht="21" x14ac:dyDescent="0.25">
      <c r="B120" s="165"/>
      <c r="C120" s="229" t="s">
        <v>265</v>
      </c>
      <c r="D120" s="229" t="s">
        <v>446</v>
      </c>
      <c r="E120" s="229"/>
      <c r="F120" s="188">
        <v>35</v>
      </c>
      <c r="G120" s="188">
        <v>2558</v>
      </c>
      <c r="H120" s="237">
        <v>414</v>
      </c>
      <c r="I120" s="229">
        <v>828</v>
      </c>
    </row>
    <row r="121" spans="2:9" ht="21" x14ac:dyDescent="0.25">
      <c r="B121" s="165"/>
      <c r="C121" s="229" t="s">
        <v>451</v>
      </c>
      <c r="D121" s="229" t="s">
        <v>459</v>
      </c>
      <c r="E121" s="229"/>
      <c r="F121" s="188">
        <v>53</v>
      </c>
      <c r="G121" s="188"/>
      <c r="H121" s="237">
        <v>410</v>
      </c>
      <c r="I121" s="229">
        <v>820</v>
      </c>
    </row>
    <row r="122" spans="2:9" ht="21" x14ac:dyDescent="0.25">
      <c r="B122" s="165"/>
      <c r="C122" s="229" t="s">
        <v>1155</v>
      </c>
      <c r="D122" s="229" t="s">
        <v>1154</v>
      </c>
      <c r="E122" s="229"/>
      <c r="F122" s="188">
        <v>54</v>
      </c>
      <c r="G122" s="188"/>
      <c r="H122" s="237">
        <v>371</v>
      </c>
      <c r="I122" s="229">
        <v>742</v>
      </c>
    </row>
    <row r="123" spans="2:9" ht="21" x14ac:dyDescent="0.25">
      <c r="B123" s="165"/>
      <c r="C123" s="229" t="s">
        <v>85</v>
      </c>
      <c r="D123" s="229" t="s">
        <v>446</v>
      </c>
      <c r="E123" s="229"/>
      <c r="F123" s="188">
        <v>45</v>
      </c>
      <c r="G123" s="188"/>
      <c r="H123" s="237">
        <v>330</v>
      </c>
      <c r="I123" s="229">
        <v>660</v>
      </c>
    </row>
    <row r="124" spans="2:9" ht="21" x14ac:dyDescent="0.25">
      <c r="B124" s="165"/>
      <c r="C124" s="229" t="s">
        <v>1164</v>
      </c>
      <c r="D124" s="229" t="s">
        <v>457</v>
      </c>
      <c r="E124" s="229"/>
      <c r="F124" s="188">
        <v>39</v>
      </c>
      <c r="G124" s="188"/>
      <c r="H124" s="237">
        <v>305</v>
      </c>
      <c r="I124" s="229"/>
    </row>
    <row r="125" spans="2:9" ht="21" x14ac:dyDescent="0.25">
      <c r="B125" s="165"/>
      <c r="C125" s="229" t="s">
        <v>1152</v>
      </c>
      <c r="D125" s="229" t="s">
        <v>460</v>
      </c>
      <c r="E125" s="229"/>
      <c r="F125" s="188">
        <v>39</v>
      </c>
      <c r="G125" s="188"/>
      <c r="H125" s="237">
        <v>275</v>
      </c>
      <c r="I125" s="229">
        <v>550</v>
      </c>
    </row>
    <row r="126" spans="2:9" ht="21" x14ac:dyDescent="0.25">
      <c r="B126" s="165"/>
      <c r="C126" s="229" t="s">
        <v>269</v>
      </c>
      <c r="D126" s="229" t="s">
        <v>477</v>
      </c>
      <c r="E126" s="229"/>
      <c r="F126" s="188">
        <v>47</v>
      </c>
      <c r="G126" s="188"/>
      <c r="H126" s="237">
        <v>249</v>
      </c>
      <c r="I126" s="229">
        <v>498</v>
      </c>
    </row>
    <row r="127" spans="2:9" ht="21" x14ac:dyDescent="0.25">
      <c r="B127" s="165"/>
      <c r="C127" s="229" t="s">
        <v>1151</v>
      </c>
      <c r="D127" s="229" t="s">
        <v>446</v>
      </c>
      <c r="E127" s="229"/>
      <c r="F127" s="188">
        <v>14</v>
      </c>
      <c r="G127" s="188"/>
      <c r="H127" s="237">
        <v>210</v>
      </c>
      <c r="I127" s="229">
        <v>420</v>
      </c>
    </row>
    <row r="128" spans="2:9" ht="21" x14ac:dyDescent="0.25">
      <c r="B128" s="165"/>
      <c r="C128" s="229" t="s">
        <v>502</v>
      </c>
      <c r="D128" s="229" t="s">
        <v>446</v>
      </c>
      <c r="E128" s="229"/>
      <c r="F128" s="188">
        <v>26</v>
      </c>
      <c r="G128" s="188">
        <v>2103</v>
      </c>
      <c r="H128" s="237">
        <v>190</v>
      </c>
      <c r="I128" s="229">
        <v>380</v>
      </c>
    </row>
    <row r="129" spans="2:9" ht="21" x14ac:dyDescent="0.25">
      <c r="B129" s="165"/>
      <c r="C129" s="229" t="s">
        <v>474</v>
      </c>
      <c r="D129" s="229" t="s">
        <v>412</v>
      </c>
      <c r="E129" s="229"/>
      <c r="F129" s="188">
        <v>29</v>
      </c>
      <c r="G129" s="188">
        <v>1320</v>
      </c>
      <c r="H129" s="237">
        <v>167</v>
      </c>
      <c r="I129" s="229">
        <v>334</v>
      </c>
    </row>
    <row r="130" spans="2:9" ht="21" x14ac:dyDescent="0.25">
      <c r="B130" s="165"/>
      <c r="C130" s="229" t="s">
        <v>461</v>
      </c>
      <c r="D130" s="229" t="s">
        <v>457</v>
      </c>
      <c r="E130" s="229"/>
      <c r="F130" s="188">
        <v>14</v>
      </c>
      <c r="G130" s="188"/>
      <c r="H130" s="237">
        <v>132</v>
      </c>
      <c r="I130" s="229">
        <v>264</v>
      </c>
    </row>
    <row r="131" spans="2:9" ht="21" x14ac:dyDescent="0.25">
      <c r="B131" s="165"/>
      <c r="C131" s="229" t="s">
        <v>475</v>
      </c>
      <c r="D131" s="229" t="s">
        <v>446</v>
      </c>
      <c r="E131" s="229"/>
      <c r="F131" s="188">
        <v>31</v>
      </c>
      <c r="G131" s="188">
        <v>1123</v>
      </c>
      <c r="H131" s="237">
        <v>121</v>
      </c>
      <c r="I131" s="229">
        <v>242</v>
      </c>
    </row>
    <row r="132" spans="2:9" ht="21" x14ac:dyDescent="0.25">
      <c r="B132" s="165"/>
      <c r="C132" s="235" t="s">
        <v>1168</v>
      </c>
      <c r="D132" s="229"/>
      <c r="E132" s="229"/>
      <c r="F132" s="188"/>
      <c r="G132" s="188"/>
      <c r="H132" s="237"/>
      <c r="I132" s="229"/>
    </row>
    <row r="133" spans="2:9" ht="21" x14ac:dyDescent="0.25">
      <c r="B133" s="165"/>
      <c r="C133" s="229" t="s">
        <v>490</v>
      </c>
      <c r="D133" s="229" t="s">
        <v>465</v>
      </c>
      <c r="E133" s="229"/>
      <c r="F133" s="188" t="s">
        <v>11</v>
      </c>
      <c r="H133" s="237">
        <v>2130</v>
      </c>
      <c r="I133" s="229">
        <v>4260</v>
      </c>
    </row>
    <row r="134" spans="2:9" ht="21" x14ac:dyDescent="0.25">
      <c r="B134" s="165"/>
      <c r="C134" s="229" t="s">
        <v>488</v>
      </c>
      <c r="D134" s="229" t="s">
        <v>465</v>
      </c>
      <c r="E134" s="229"/>
      <c r="F134" s="188" t="s">
        <v>11</v>
      </c>
      <c r="H134" s="237">
        <v>1650</v>
      </c>
      <c r="I134" s="229">
        <v>3300</v>
      </c>
    </row>
    <row r="135" spans="2:9" ht="21" x14ac:dyDescent="0.25">
      <c r="B135" s="165"/>
      <c r="C135" s="229" t="s">
        <v>491</v>
      </c>
      <c r="D135" s="229" t="s">
        <v>465</v>
      </c>
      <c r="E135" s="229"/>
      <c r="F135" s="188" t="s">
        <v>11</v>
      </c>
      <c r="H135" s="237">
        <v>1470</v>
      </c>
      <c r="I135" s="229">
        <v>2940</v>
      </c>
    </row>
    <row r="136" spans="2:9" ht="21" x14ac:dyDescent="0.25">
      <c r="B136" s="165"/>
      <c r="C136" s="229" t="s">
        <v>489</v>
      </c>
      <c r="D136" s="229" t="s">
        <v>465</v>
      </c>
      <c r="E136" s="229"/>
      <c r="F136" s="188" t="s">
        <v>11</v>
      </c>
      <c r="H136" s="237">
        <v>750</v>
      </c>
      <c r="I136" s="229">
        <v>1500</v>
      </c>
    </row>
    <row r="137" spans="2:9" ht="21" x14ac:dyDescent="0.25">
      <c r="B137" s="165"/>
      <c r="C137" s="229"/>
      <c r="D137" s="229"/>
      <c r="E137" s="229"/>
      <c r="F137" s="188"/>
      <c r="G137" s="188"/>
      <c r="H137" s="237"/>
      <c r="I137" s="229"/>
    </row>
    <row r="138" spans="2:9" ht="11" customHeight="1" x14ac:dyDescent="0.25">
      <c r="B138" s="165"/>
      <c r="C138" s="166"/>
      <c r="D138" s="169"/>
      <c r="E138" s="169"/>
      <c r="F138" s="167"/>
      <c r="G138" s="168"/>
      <c r="H138" s="190"/>
      <c r="I138" s="92"/>
    </row>
    <row r="139" spans="2:9" ht="21" x14ac:dyDescent="0.25">
      <c r="B139" s="165"/>
      <c r="C139" s="189" t="s">
        <v>1169</v>
      </c>
      <c r="D139" s="189"/>
      <c r="E139" s="189"/>
      <c r="F139" s="167"/>
      <c r="H139" s="233">
        <f>H141-SUM(H101:H138)</f>
        <v>24857.5</v>
      </c>
      <c r="I139" s="233">
        <f>I141-SUM(I101:I138)</f>
        <v>51402</v>
      </c>
    </row>
    <row r="140" spans="2:9" ht="11" customHeight="1" x14ac:dyDescent="0.25">
      <c r="B140" s="165"/>
      <c r="C140" s="169"/>
      <c r="D140" s="169"/>
      <c r="E140" s="169"/>
      <c r="F140" s="167"/>
      <c r="H140" s="233"/>
      <c r="I140" s="233"/>
    </row>
    <row r="141" spans="2:9" ht="21" x14ac:dyDescent="0.25">
      <c r="B141" s="165"/>
      <c r="C141" s="170" t="s">
        <v>449</v>
      </c>
      <c r="D141" s="171"/>
      <c r="E141" s="171"/>
      <c r="F141" s="171"/>
      <c r="H141" s="234">
        <f>'Ward Analysis'!O211</f>
        <v>53258.5</v>
      </c>
      <c r="I141" s="234">
        <f>'Ward Analysis'!Q211</f>
        <v>107594</v>
      </c>
    </row>
    <row r="148" spans="3:11" x14ac:dyDescent="0.2">
      <c r="D148" t="s">
        <v>501</v>
      </c>
    </row>
    <row r="149" spans="3:11" x14ac:dyDescent="0.2">
      <c r="C149" t="s">
        <v>434</v>
      </c>
      <c r="D149" s="60">
        <v>5803</v>
      </c>
      <c r="E149" s="60"/>
    </row>
    <row r="150" spans="3:11" x14ac:dyDescent="0.2">
      <c r="C150" t="s">
        <v>301</v>
      </c>
      <c r="D150" s="60">
        <v>3357</v>
      </c>
      <c r="E150" s="60"/>
    </row>
    <row r="151" spans="3:11" x14ac:dyDescent="0.2">
      <c r="C151" t="s">
        <v>466</v>
      </c>
      <c r="D151" s="60">
        <v>2850</v>
      </c>
      <c r="E151" s="60"/>
    </row>
    <row r="152" spans="3:11" x14ac:dyDescent="0.2">
      <c r="C152" t="s">
        <v>303</v>
      </c>
      <c r="D152" s="60">
        <v>2738</v>
      </c>
      <c r="E152" s="60"/>
    </row>
    <row r="153" spans="3:11" x14ac:dyDescent="0.2">
      <c r="C153" t="s">
        <v>265</v>
      </c>
      <c r="D153" s="60">
        <v>2558</v>
      </c>
      <c r="E153" s="60"/>
    </row>
    <row r="154" spans="3:11" x14ac:dyDescent="0.2">
      <c r="C154" t="s">
        <v>298</v>
      </c>
      <c r="D154" s="60">
        <v>2267</v>
      </c>
      <c r="E154" s="60"/>
    </row>
    <row r="155" spans="3:11" x14ac:dyDescent="0.2">
      <c r="C155" t="s">
        <v>502</v>
      </c>
      <c r="D155" s="60">
        <v>2103</v>
      </c>
      <c r="E155" s="60"/>
    </row>
    <row r="156" spans="3:11" x14ac:dyDescent="0.2">
      <c r="C156" t="s">
        <v>472</v>
      </c>
      <c r="D156" s="60">
        <v>1706</v>
      </c>
      <c r="E156" s="60"/>
    </row>
    <row r="157" spans="3:11" x14ac:dyDescent="0.2">
      <c r="C157" t="s">
        <v>450</v>
      </c>
      <c r="D157" s="60">
        <v>1429</v>
      </c>
      <c r="E157" s="60"/>
    </row>
    <row r="158" spans="3:11" x14ac:dyDescent="0.2">
      <c r="C158" t="s">
        <v>474</v>
      </c>
      <c r="D158" s="60">
        <v>1320</v>
      </c>
      <c r="E158" s="60"/>
      <c r="K158" s="187" t="s">
        <v>504</v>
      </c>
    </row>
    <row r="159" spans="3:11" x14ac:dyDescent="0.2">
      <c r="C159" t="s">
        <v>109</v>
      </c>
      <c r="D159" s="60">
        <v>887</v>
      </c>
      <c r="E159" s="60"/>
      <c r="K159" s="151" t="s">
        <v>503</v>
      </c>
    </row>
    <row r="160" spans="3:11" x14ac:dyDescent="0.2">
      <c r="C160" t="s">
        <v>116</v>
      </c>
      <c r="D160" s="60">
        <v>722</v>
      </c>
      <c r="E160" s="60"/>
      <c r="K160" s="151" t="s">
        <v>508</v>
      </c>
    </row>
    <row r="161" spans="3:11" x14ac:dyDescent="0.2">
      <c r="C161" t="s">
        <v>47</v>
      </c>
      <c r="D161" s="153">
        <v>1123</v>
      </c>
      <c r="E161" s="153"/>
      <c r="K161" s="151" t="s">
        <v>506</v>
      </c>
    </row>
    <row r="162" spans="3:11" x14ac:dyDescent="0.2">
      <c r="K162" s="151" t="s">
        <v>507</v>
      </c>
    </row>
    <row r="163" spans="3:11" x14ac:dyDescent="0.2">
      <c r="K163" s="187" t="s">
        <v>505</v>
      </c>
    </row>
    <row r="167" spans="3:11" x14ac:dyDescent="0.2">
      <c r="I167" t="s">
        <v>206</v>
      </c>
      <c r="J167" t="s">
        <v>207</v>
      </c>
    </row>
    <row r="168" spans="3:11" x14ac:dyDescent="0.2">
      <c r="D168" t="s">
        <v>431</v>
      </c>
      <c r="F168" t="s">
        <v>430</v>
      </c>
      <c r="G168" t="s">
        <v>208</v>
      </c>
      <c r="H168" t="s">
        <v>501</v>
      </c>
      <c r="I168" t="s">
        <v>211</v>
      </c>
      <c r="J168" t="s">
        <v>212</v>
      </c>
    </row>
    <row r="169" spans="3:11" x14ac:dyDescent="0.2">
      <c r="C169" t="s">
        <v>486</v>
      </c>
      <c r="D169" t="s">
        <v>464</v>
      </c>
      <c r="I169" t="s">
        <v>11</v>
      </c>
      <c r="J169" t="s">
        <v>11</v>
      </c>
    </row>
    <row r="170" spans="3:11" x14ac:dyDescent="0.2">
      <c r="I170" t="s">
        <v>11</v>
      </c>
    </row>
    <row r="171" spans="3:11" x14ac:dyDescent="0.2">
      <c r="I171" t="s">
        <v>11</v>
      </c>
    </row>
    <row r="172" spans="3:11" x14ac:dyDescent="0.2">
      <c r="I172">
        <v>23153</v>
      </c>
      <c r="J172">
        <v>47383</v>
      </c>
    </row>
    <row r="173" spans="3:11" x14ac:dyDescent="0.2">
      <c r="I173">
        <v>22713</v>
      </c>
      <c r="J173">
        <v>41804</v>
      </c>
    </row>
    <row r="174" spans="3:11" x14ac:dyDescent="0.2">
      <c r="I174">
        <v>21553</v>
      </c>
      <c r="J174">
        <v>44183</v>
      </c>
    </row>
    <row r="175" spans="3:11" x14ac:dyDescent="0.2">
      <c r="I175">
        <v>20653</v>
      </c>
      <c r="J175">
        <v>37684</v>
      </c>
    </row>
    <row r="176" spans="3:11" x14ac:dyDescent="0.2">
      <c r="C176" t="s">
        <v>194</v>
      </c>
      <c r="I176">
        <v>15326</v>
      </c>
      <c r="J176">
        <v>30652</v>
      </c>
    </row>
    <row r="177" spans="3:10" x14ac:dyDescent="0.2">
      <c r="C177" t="s">
        <v>452</v>
      </c>
      <c r="I177">
        <v>12142</v>
      </c>
      <c r="J177">
        <v>24284</v>
      </c>
    </row>
    <row r="178" spans="3:10" x14ac:dyDescent="0.2">
      <c r="I178">
        <v>6231</v>
      </c>
      <c r="J178">
        <v>14220</v>
      </c>
    </row>
    <row r="179" spans="3:10" x14ac:dyDescent="0.2">
      <c r="I179">
        <v>6227</v>
      </c>
      <c r="J179">
        <v>13531</v>
      </c>
    </row>
    <row r="183" spans="3:10" ht="57" x14ac:dyDescent="0.25">
      <c r="C183" s="221" t="s">
        <v>1171</v>
      </c>
      <c r="D183" s="212" t="s">
        <v>430</v>
      </c>
      <c r="E183" s="212" t="s">
        <v>1170</v>
      </c>
      <c r="F183" s="212" t="s">
        <v>208</v>
      </c>
      <c r="G183" s="212" t="s">
        <v>1131</v>
      </c>
    </row>
    <row r="184" spans="3:10" x14ac:dyDescent="0.2">
      <c r="C184" s="213" t="s">
        <v>1132</v>
      </c>
      <c r="D184" s="216">
        <v>211</v>
      </c>
      <c r="E184" s="217">
        <f>D184*3.28</f>
        <v>692.07999999999993</v>
      </c>
      <c r="F184" s="216">
        <v>50</v>
      </c>
      <c r="G184" s="217">
        <v>3610</v>
      </c>
    </row>
    <row r="185" spans="3:10" x14ac:dyDescent="0.2">
      <c r="C185" s="213" t="s">
        <v>1134</v>
      </c>
      <c r="D185" s="214"/>
      <c r="E185" s="217"/>
      <c r="F185" s="214">
        <v>26</v>
      </c>
      <c r="G185" s="215">
        <v>1706</v>
      </c>
    </row>
    <row r="186" spans="3:10" x14ac:dyDescent="0.2">
      <c r="C186" s="213" t="s">
        <v>296</v>
      </c>
      <c r="D186" s="214"/>
      <c r="E186" s="217"/>
      <c r="F186" s="214">
        <v>40</v>
      </c>
      <c r="G186" s="215">
        <v>1550</v>
      </c>
    </row>
    <row r="187" spans="3:10" x14ac:dyDescent="0.2">
      <c r="C187" s="213" t="s">
        <v>434</v>
      </c>
      <c r="D187" s="214">
        <v>239</v>
      </c>
      <c r="E187" s="217">
        <f t="shared" ref="E187:E205" si="0">D187*3.28</f>
        <v>783.92</v>
      </c>
      <c r="F187" s="214">
        <v>75</v>
      </c>
      <c r="G187" s="215">
        <v>984</v>
      </c>
    </row>
    <row r="188" spans="3:10" x14ac:dyDescent="0.2">
      <c r="C188" s="213" t="s">
        <v>302</v>
      </c>
      <c r="D188" s="214">
        <v>242</v>
      </c>
      <c r="E188" s="217">
        <f t="shared" si="0"/>
        <v>793.76</v>
      </c>
      <c r="F188" s="214">
        <v>71</v>
      </c>
      <c r="G188" s="215">
        <v>982</v>
      </c>
    </row>
    <row r="189" spans="3:10" x14ac:dyDescent="0.2">
      <c r="C189" s="213" t="s">
        <v>178</v>
      </c>
      <c r="D189" s="214">
        <v>148</v>
      </c>
      <c r="E189" s="217">
        <f t="shared" si="0"/>
        <v>485.44</v>
      </c>
      <c r="F189" s="214">
        <v>42</v>
      </c>
      <c r="G189" s="215">
        <v>909</v>
      </c>
    </row>
    <row r="190" spans="3:10" x14ac:dyDescent="0.2">
      <c r="C190" s="213" t="s">
        <v>298</v>
      </c>
      <c r="D190" s="214">
        <v>220</v>
      </c>
      <c r="E190" s="217">
        <f t="shared" si="0"/>
        <v>721.59999999999991</v>
      </c>
      <c r="F190" s="214">
        <v>68</v>
      </c>
      <c r="G190" s="215">
        <v>888</v>
      </c>
    </row>
    <row r="191" spans="3:10" x14ac:dyDescent="0.2">
      <c r="C191" s="213" t="s">
        <v>442</v>
      </c>
      <c r="D191" s="214"/>
      <c r="E191" s="217"/>
      <c r="F191" s="214">
        <v>23</v>
      </c>
      <c r="G191" s="215">
        <v>850</v>
      </c>
    </row>
    <row r="192" spans="3:10" x14ac:dyDescent="0.2">
      <c r="C192" s="213" t="s">
        <v>476</v>
      </c>
      <c r="D192" s="214"/>
      <c r="E192" s="217"/>
      <c r="F192" s="214">
        <v>30</v>
      </c>
      <c r="G192" s="215">
        <v>834</v>
      </c>
    </row>
    <row r="193" spans="3:7" x14ac:dyDescent="0.2">
      <c r="C193" s="213" t="s">
        <v>300</v>
      </c>
      <c r="D193" s="214"/>
      <c r="E193" s="217"/>
      <c r="F193" s="214">
        <v>28</v>
      </c>
      <c r="G193" s="215">
        <v>800</v>
      </c>
    </row>
    <row r="194" spans="3:7" x14ac:dyDescent="0.2">
      <c r="C194" s="213" t="s">
        <v>301</v>
      </c>
      <c r="D194" s="214">
        <v>188</v>
      </c>
      <c r="E194" s="217">
        <f t="shared" si="0"/>
        <v>616.64</v>
      </c>
      <c r="F194" s="214">
        <v>55</v>
      </c>
      <c r="G194" s="215">
        <v>756</v>
      </c>
    </row>
    <row r="195" spans="3:7" x14ac:dyDescent="0.2">
      <c r="C195" s="213" t="s">
        <v>129</v>
      </c>
      <c r="D195" s="214"/>
      <c r="E195" s="217"/>
      <c r="F195" s="214">
        <v>29</v>
      </c>
      <c r="G195" s="215">
        <v>716</v>
      </c>
    </row>
    <row r="196" spans="3:7" x14ac:dyDescent="0.2">
      <c r="C196" s="213" t="s">
        <v>437</v>
      </c>
      <c r="D196" s="214">
        <v>204</v>
      </c>
      <c r="E196" s="217">
        <f t="shared" si="0"/>
        <v>669.12</v>
      </c>
      <c r="F196" s="214">
        <v>60</v>
      </c>
      <c r="G196" s="215">
        <v>712</v>
      </c>
    </row>
    <row r="197" spans="3:7" x14ac:dyDescent="0.2">
      <c r="C197" s="213" t="s">
        <v>303</v>
      </c>
      <c r="D197" s="214">
        <v>218</v>
      </c>
      <c r="E197" s="217">
        <f t="shared" si="0"/>
        <v>715.04</v>
      </c>
      <c r="F197" s="214">
        <v>58</v>
      </c>
      <c r="G197" s="215">
        <v>575</v>
      </c>
    </row>
    <row r="198" spans="3:7" x14ac:dyDescent="0.2">
      <c r="C198" s="213" t="s">
        <v>435</v>
      </c>
      <c r="D198" s="214">
        <v>99</v>
      </c>
      <c r="E198" s="217">
        <f t="shared" si="0"/>
        <v>324.71999999999997</v>
      </c>
      <c r="F198" s="214">
        <v>32</v>
      </c>
      <c r="G198" s="215">
        <v>546</v>
      </c>
    </row>
    <row r="199" spans="3:7" x14ac:dyDescent="0.2">
      <c r="C199" s="213" t="s">
        <v>433</v>
      </c>
      <c r="D199" s="214"/>
      <c r="E199" s="217"/>
      <c r="F199" s="214">
        <v>45</v>
      </c>
      <c r="G199" s="215">
        <v>484</v>
      </c>
    </row>
    <row r="200" spans="3:7" x14ac:dyDescent="0.2">
      <c r="C200" s="213" t="s">
        <v>450</v>
      </c>
      <c r="D200" s="214"/>
      <c r="E200" s="217"/>
      <c r="F200" s="214">
        <v>43</v>
      </c>
      <c r="G200" s="215">
        <v>484</v>
      </c>
    </row>
    <row r="201" spans="3:7" x14ac:dyDescent="0.2">
      <c r="C201" s="213" t="s">
        <v>466</v>
      </c>
      <c r="D201" s="214">
        <v>187</v>
      </c>
      <c r="E201" s="217">
        <f t="shared" si="0"/>
        <v>613.36</v>
      </c>
      <c r="F201" s="214">
        <v>53</v>
      </c>
      <c r="G201" s="215">
        <v>423</v>
      </c>
    </row>
    <row r="202" spans="3:7" x14ac:dyDescent="0.2">
      <c r="C202" s="213" t="s">
        <v>265</v>
      </c>
      <c r="D202" s="214"/>
      <c r="E202" s="217"/>
      <c r="F202" s="214">
        <v>35</v>
      </c>
      <c r="G202" s="215">
        <v>414</v>
      </c>
    </row>
    <row r="203" spans="3:7" x14ac:dyDescent="0.2">
      <c r="C203" s="213" t="s">
        <v>451</v>
      </c>
      <c r="D203" s="214">
        <v>189</v>
      </c>
      <c r="E203" s="217">
        <f t="shared" si="0"/>
        <v>619.91999999999996</v>
      </c>
      <c r="F203" s="214">
        <v>53</v>
      </c>
      <c r="G203" s="215">
        <v>410</v>
      </c>
    </row>
    <row r="204" spans="3:7" x14ac:dyDescent="0.2">
      <c r="C204" s="213" t="s">
        <v>85</v>
      </c>
      <c r="D204" s="214">
        <v>155</v>
      </c>
      <c r="E204" s="217">
        <f t="shared" si="0"/>
        <v>508.4</v>
      </c>
      <c r="F204" s="214">
        <v>45</v>
      </c>
      <c r="G204" s="215">
        <v>330</v>
      </c>
    </row>
    <row r="205" spans="3:7" x14ac:dyDescent="0.2">
      <c r="C205" s="213" t="s">
        <v>1133</v>
      </c>
      <c r="D205" s="214">
        <v>127</v>
      </c>
      <c r="E205" s="217">
        <f t="shared" si="0"/>
        <v>416.56</v>
      </c>
      <c r="F205" s="214">
        <v>39</v>
      </c>
      <c r="G205" s="215">
        <v>305</v>
      </c>
    </row>
    <row r="206" spans="3:7" x14ac:dyDescent="0.2">
      <c r="C206" s="213" t="s">
        <v>123</v>
      </c>
      <c r="D206" s="214"/>
      <c r="E206" s="214"/>
      <c r="F206" s="214">
        <v>39</v>
      </c>
      <c r="G206" s="215">
        <v>275</v>
      </c>
    </row>
    <row r="207" spans="3:7" x14ac:dyDescent="0.2">
      <c r="C207" s="213" t="s">
        <v>112</v>
      </c>
      <c r="D207" s="214"/>
      <c r="E207" s="214"/>
      <c r="F207" s="214">
        <v>47</v>
      </c>
      <c r="G207" s="215">
        <v>249</v>
      </c>
    </row>
    <row r="208" spans="3:7" x14ac:dyDescent="0.2">
      <c r="C208" s="213" t="s">
        <v>473</v>
      </c>
      <c r="D208" s="214"/>
      <c r="E208" s="214"/>
      <c r="F208" s="214">
        <v>14</v>
      </c>
      <c r="G208" s="215">
        <v>210</v>
      </c>
    </row>
    <row r="209" spans="3:12" x14ac:dyDescent="0.2">
      <c r="C209" s="213" t="s">
        <v>502</v>
      </c>
      <c r="D209" s="214"/>
      <c r="E209" s="214"/>
      <c r="F209" s="214">
        <v>26</v>
      </c>
      <c r="G209" s="215">
        <v>190</v>
      </c>
    </row>
    <row r="210" spans="3:12" x14ac:dyDescent="0.2">
      <c r="C210" s="213" t="s">
        <v>474</v>
      </c>
      <c r="D210" s="214"/>
      <c r="E210" s="214"/>
      <c r="F210" s="214">
        <v>29</v>
      </c>
      <c r="G210" s="215">
        <v>167</v>
      </c>
    </row>
    <row r="211" spans="3:12" x14ac:dyDescent="0.2">
      <c r="C211" s="213" t="s">
        <v>461</v>
      </c>
      <c r="D211" s="214"/>
      <c r="E211" s="214"/>
      <c r="F211" s="214">
        <v>14</v>
      </c>
      <c r="G211" s="215">
        <v>132</v>
      </c>
    </row>
    <row r="212" spans="3:12" x14ac:dyDescent="0.2">
      <c r="C212" s="213" t="s">
        <v>475</v>
      </c>
      <c r="D212" s="214"/>
      <c r="E212" s="214"/>
      <c r="F212" s="214">
        <v>31</v>
      </c>
      <c r="G212" s="215">
        <v>121</v>
      </c>
    </row>
    <row r="213" spans="3:12" x14ac:dyDescent="0.2">
      <c r="D213" s="43"/>
      <c r="E213" s="43"/>
      <c r="F213" s="43"/>
      <c r="G213" s="30"/>
    </row>
    <row r="214" spans="3:12" x14ac:dyDescent="0.2">
      <c r="D214" s="43"/>
      <c r="E214" s="43"/>
      <c r="F214" s="43"/>
      <c r="G214" s="30"/>
    </row>
    <row r="215" spans="3:12" x14ac:dyDescent="0.2">
      <c r="D215" s="43"/>
      <c r="E215" s="43"/>
      <c r="F215" s="43"/>
      <c r="G215" s="30"/>
    </row>
    <row r="216" spans="3:12" ht="32" x14ac:dyDescent="0.2">
      <c r="D216" s="194" t="s">
        <v>501</v>
      </c>
      <c r="E216" s="194" t="s">
        <v>1257</v>
      </c>
      <c r="F216" s="246" t="s">
        <v>1256</v>
      </c>
      <c r="G216" s="246" t="s">
        <v>1259</v>
      </c>
      <c r="H216" s="247" t="s">
        <v>1260</v>
      </c>
      <c r="I216" s="247" t="s">
        <v>1261</v>
      </c>
    </row>
    <row r="217" spans="3:12" x14ac:dyDescent="0.2">
      <c r="D217" s="153"/>
      <c r="E217" s="43"/>
      <c r="F217" s="43"/>
      <c r="G217" s="43"/>
    </row>
    <row r="218" spans="3:12" x14ac:dyDescent="0.2">
      <c r="C218" s="195" t="s">
        <v>434</v>
      </c>
      <c r="D218" s="30">
        <v>5803</v>
      </c>
      <c r="E218" s="30">
        <f>H218/I218</f>
        <v>3514.2857142857138</v>
      </c>
      <c r="F218" s="43">
        <v>5</v>
      </c>
      <c r="G218" s="43">
        <v>239</v>
      </c>
      <c r="H218" s="43">
        <v>984</v>
      </c>
      <c r="I218" s="43">
        <v>0.28000000000000003</v>
      </c>
    </row>
    <row r="219" spans="3:12" x14ac:dyDescent="0.2">
      <c r="C219" s="195" t="s">
        <v>301</v>
      </c>
      <c r="D219" s="34">
        <v>3357</v>
      </c>
      <c r="E219" s="30">
        <f>H219/I219</f>
        <v>1064.8148148148148</v>
      </c>
      <c r="F219" s="43">
        <v>4</v>
      </c>
      <c r="G219" s="43">
        <v>188</v>
      </c>
      <c r="H219" s="30">
        <f>'Ward Analysis'!O30</f>
        <v>575</v>
      </c>
      <c r="I219" s="43">
        <v>0.54</v>
      </c>
    </row>
    <row r="220" spans="3:12" x14ac:dyDescent="0.2">
      <c r="C220" s="195" t="s">
        <v>466</v>
      </c>
      <c r="D220" s="30">
        <v>2850</v>
      </c>
      <c r="E220" s="30">
        <f t="shared" ref="E220:E230" si="1">H220/I220</f>
        <v>5263.1578947368416</v>
      </c>
      <c r="F220" s="43">
        <v>4</v>
      </c>
      <c r="G220" s="43">
        <v>187</v>
      </c>
      <c r="H220" s="30">
        <f>'Ward Analysis'!O89</f>
        <v>2000</v>
      </c>
      <c r="I220" s="43">
        <v>0.38</v>
      </c>
    </row>
    <row r="221" spans="3:12" x14ac:dyDescent="0.2">
      <c r="C221" s="196" t="s">
        <v>1258</v>
      </c>
      <c r="D221" s="183">
        <v>2738</v>
      </c>
      <c r="E221" s="30" t="e">
        <f t="shared" si="1"/>
        <v>#DIV/0!</v>
      </c>
      <c r="F221" s="43"/>
      <c r="G221" s="43"/>
      <c r="H221" s="43"/>
      <c r="I221" s="43"/>
    </row>
    <row r="222" spans="3:12" x14ac:dyDescent="0.2">
      <c r="C222" s="195" t="s">
        <v>265</v>
      </c>
      <c r="D222" s="30">
        <v>2558</v>
      </c>
      <c r="E222" s="30" t="e">
        <f t="shared" si="1"/>
        <v>#DIV/0!</v>
      </c>
      <c r="F222" s="43"/>
      <c r="G222" s="43"/>
      <c r="H222" s="43"/>
      <c r="I222" s="43"/>
    </row>
    <row r="223" spans="3:12" x14ac:dyDescent="0.2">
      <c r="C223" s="195" t="s">
        <v>178</v>
      </c>
      <c r="D223" s="30">
        <v>2492</v>
      </c>
      <c r="E223" s="30">
        <f t="shared" si="1"/>
        <v>947.97687861271675</v>
      </c>
      <c r="F223" s="43"/>
      <c r="G223" s="43"/>
      <c r="H223" s="30">
        <f>'Ward Analysis'!O28</f>
        <v>984</v>
      </c>
      <c r="I223" s="43">
        <v>1.038</v>
      </c>
    </row>
    <row r="224" spans="3:12" x14ac:dyDescent="0.2">
      <c r="C224" s="195" t="s">
        <v>298</v>
      </c>
      <c r="D224" s="30">
        <v>2140</v>
      </c>
      <c r="E224" s="30">
        <f t="shared" si="1"/>
        <v>200.93023255813955</v>
      </c>
      <c r="F224" s="43"/>
      <c r="G224" s="43"/>
      <c r="H224" s="30">
        <f>'Ward Analysis'!O26</f>
        <v>216</v>
      </c>
      <c r="I224" s="43">
        <v>1.075</v>
      </c>
      <c r="J224" t="s">
        <v>1304</v>
      </c>
      <c r="L224" s="255" t="s">
        <v>1305</v>
      </c>
    </row>
    <row r="225" spans="3:24" x14ac:dyDescent="0.2">
      <c r="C225" s="195" t="s">
        <v>502</v>
      </c>
      <c r="D225" s="30">
        <v>2103</v>
      </c>
      <c r="E225" s="30" t="e">
        <f t="shared" si="1"/>
        <v>#DIV/0!</v>
      </c>
      <c r="F225" s="43"/>
      <c r="G225" s="43"/>
      <c r="H225" s="43"/>
      <c r="I225" s="43"/>
    </row>
    <row r="226" spans="3:24" x14ac:dyDescent="0.2">
      <c r="C226" s="195" t="s">
        <v>472</v>
      </c>
      <c r="D226" s="30">
        <v>1700</v>
      </c>
      <c r="E226" s="30" t="e">
        <f t="shared" si="1"/>
        <v>#DIV/0!</v>
      </c>
      <c r="F226" s="43"/>
      <c r="G226" s="43"/>
      <c r="H226" s="43"/>
      <c r="I226" s="43"/>
      <c r="V226">
        <v>1.32</v>
      </c>
      <c r="W226">
        <f>V226*X227</f>
        <v>1.0751214953271029</v>
      </c>
    </row>
    <row r="227" spans="3:24" x14ac:dyDescent="0.2">
      <c r="C227" s="195" t="s">
        <v>450</v>
      </c>
      <c r="D227" s="30">
        <v>1429</v>
      </c>
      <c r="E227" s="30" t="e">
        <f t="shared" si="1"/>
        <v>#DIV/0!</v>
      </c>
      <c r="F227" s="43"/>
      <c r="G227" s="43"/>
      <c r="H227" s="43"/>
      <c r="I227" s="43"/>
      <c r="V227">
        <v>1743</v>
      </c>
      <c r="W227">
        <v>2140</v>
      </c>
      <c r="X227">
        <f>V227/W227</f>
        <v>0.81448598130841121</v>
      </c>
    </row>
    <row r="228" spans="3:24" x14ac:dyDescent="0.2">
      <c r="C228" s="195" t="s">
        <v>474</v>
      </c>
      <c r="D228" s="30">
        <v>1320</v>
      </c>
      <c r="E228" s="30">
        <f t="shared" si="1"/>
        <v>306.89655172413796</v>
      </c>
      <c r="F228" s="43"/>
      <c r="G228" s="43"/>
      <c r="H228" s="30">
        <f>'Ward Analysis'!O92</f>
        <v>89</v>
      </c>
      <c r="I228" s="43">
        <v>0.28999999999999998</v>
      </c>
      <c r="V228">
        <f>V227/V226</f>
        <v>1320.4545454545455</v>
      </c>
    </row>
    <row r="229" spans="3:24" x14ac:dyDescent="0.2">
      <c r="C229" s="195" t="s">
        <v>475</v>
      </c>
      <c r="D229" s="30">
        <v>1123</v>
      </c>
      <c r="E229" s="30" t="e">
        <f t="shared" si="1"/>
        <v>#DIV/0!</v>
      </c>
      <c r="F229" s="43"/>
      <c r="G229" s="43"/>
      <c r="H229" s="43"/>
      <c r="I229" s="43"/>
    </row>
    <row r="230" spans="3:24" x14ac:dyDescent="0.2">
      <c r="C230" s="195" t="s">
        <v>109</v>
      </c>
      <c r="D230" s="30">
        <v>887</v>
      </c>
      <c r="E230" s="30" t="e">
        <f t="shared" si="1"/>
        <v>#DIV/0!</v>
      </c>
      <c r="F230" s="43"/>
      <c r="G230" s="43"/>
      <c r="H230" s="43"/>
      <c r="I230" s="43"/>
    </row>
    <row r="231" spans="3:24" x14ac:dyDescent="0.2">
      <c r="D231" s="43"/>
      <c r="E231" s="43"/>
      <c r="F231" s="43"/>
      <c r="G231" s="43"/>
    </row>
    <row r="232" spans="3:24" x14ac:dyDescent="0.2">
      <c r="D232" s="43"/>
      <c r="E232" s="43"/>
      <c r="F232" s="43"/>
      <c r="G232" s="43"/>
    </row>
    <row r="233" spans="3:24" x14ac:dyDescent="0.2">
      <c r="C233" t="s">
        <v>531</v>
      </c>
      <c r="D233" t="s">
        <v>532</v>
      </c>
      <c r="G233" s="43"/>
    </row>
    <row r="234" spans="3:24" x14ac:dyDescent="0.2">
      <c r="D234" t="s">
        <v>533</v>
      </c>
      <c r="E234" t="s">
        <v>534</v>
      </c>
      <c r="F234" t="s">
        <v>535</v>
      </c>
      <c r="G234" s="43"/>
    </row>
    <row r="235" spans="3:24" x14ac:dyDescent="0.2">
      <c r="C235" t="s">
        <v>536</v>
      </c>
      <c r="D235" t="s">
        <v>538</v>
      </c>
      <c r="E235" t="s">
        <v>539</v>
      </c>
      <c r="F235" t="s">
        <v>540</v>
      </c>
      <c r="G235" s="43"/>
    </row>
    <row r="236" spans="3:24" x14ac:dyDescent="0.2">
      <c r="C236" t="s">
        <v>541</v>
      </c>
      <c r="D236" t="s">
        <v>542</v>
      </c>
      <c r="E236" t="s">
        <v>543</v>
      </c>
      <c r="F236" t="s">
        <v>544</v>
      </c>
      <c r="G236" s="43"/>
    </row>
    <row r="237" spans="3:24" x14ac:dyDescent="0.2">
      <c r="C237" t="s">
        <v>545</v>
      </c>
      <c r="D237" t="s">
        <v>546</v>
      </c>
      <c r="E237" t="s">
        <v>547</v>
      </c>
      <c r="F237" t="s">
        <v>548</v>
      </c>
      <c r="G237" s="43"/>
    </row>
    <row r="238" spans="3:24" x14ac:dyDescent="0.2">
      <c r="C238" t="s">
        <v>549</v>
      </c>
      <c r="D238" t="s">
        <v>550</v>
      </c>
      <c r="E238" t="s">
        <v>551</v>
      </c>
      <c r="F238" t="s">
        <v>552</v>
      </c>
      <c r="G238" s="43"/>
    </row>
    <row r="239" spans="3:24" x14ac:dyDescent="0.2">
      <c r="C239" t="s">
        <v>553</v>
      </c>
      <c r="D239" t="s">
        <v>554</v>
      </c>
    </row>
    <row r="240" spans="3:24" x14ac:dyDescent="0.2">
      <c r="C240" t="s">
        <v>555</v>
      </c>
      <c r="D240" t="s">
        <v>543</v>
      </c>
      <c r="E240" t="s">
        <v>556</v>
      </c>
      <c r="F240" t="s">
        <v>557</v>
      </c>
    </row>
    <row r="241" spans="3:11" x14ac:dyDescent="0.2">
      <c r="C241" t="s">
        <v>545</v>
      </c>
      <c r="D241" t="s">
        <v>547</v>
      </c>
      <c r="E241" t="s">
        <v>558</v>
      </c>
      <c r="F241" t="s">
        <v>559</v>
      </c>
    </row>
    <row r="242" spans="3:11" x14ac:dyDescent="0.2">
      <c r="C242" t="s">
        <v>549</v>
      </c>
      <c r="D242" t="s">
        <v>551</v>
      </c>
      <c r="E242" t="s">
        <v>560</v>
      </c>
      <c r="F242" t="s">
        <v>561</v>
      </c>
    </row>
    <row r="243" spans="3:11" x14ac:dyDescent="0.2">
      <c r="C243" t="s">
        <v>537</v>
      </c>
      <c r="D243" t="s">
        <v>562</v>
      </c>
      <c r="F243" t="s">
        <v>563</v>
      </c>
    </row>
    <row r="244" spans="3:11" x14ac:dyDescent="0.2">
      <c r="C244" t="s">
        <v>541</v>
      </c>
      <c r="D244" t="s">
        <v>564</v>
      </c>
      <c r="E244" t="s">
        <v>565</v>
      </c>
      <c r="F244" t="s">
        <v>566</v>
      </c>
    </row>
    <row r="245" spans="3:11" x14ac:dyDescent="0.2">
      <c r="C245" t="s">
        <v>545</v>
      </c>
      <c r="D245" t="s">
        <v>567</v>
      </c>
      <c r="E245" t="s">
        <v>568</v>
      </c>
      <c r="F245" t="s">
        <v>569</v>
      </c>
    </row>
    <row r="246" spans="3:11" x14ac:dyDescent="0.2">
      <c r="C246" t="s">
        <v>549</v>
      </c>
      <c r="D246" t="s">
        <v>570</v>
      </c>
      <c r="E246" t="s">
        <v>571</v>
      </c>
      <c r="F246" t="s">
        <v>572</v>
      </c>
    </row>
    <row r="249" spans="3:11" ht="49" thickBot="1" x14ac:dyDescent="0.25">
      <c r="D249" s="38" t="s">
        <v>208</v>
      </c>
      <c r="E249" s="38" t="s">
        <v>211</v>
      </c>
      <c r="F249" s="38" t="s">
        <v>212</v>
      </c>
      <c r="I249" s="38" t="s">
        <v>208</v>
      </c>
      <c r="J249" s="38" t="s">
        <v>211</v>
      </c>
      <c r="K249" s="38" t="s">
        <v>212</v>
      </c>
    </row>
    <row r="250" spans="3:11" x14ac:dyDescent="0.2">
      <c r="C250" t="s">
        <v>296</v>
      </c>
      <c r="D250" s="60">
        <v>40</v>
      </c>
      <c r="E250" s="60">
        <v>1550</v>
      </c>
      <c r="F250" s="60">
        <v>3100</v>
      </c>
      <c r="G250" s="60"/>
      <c r="H250" s="60" t="s">
        <v>472</v>
      </c>
      <c r="I250" s="75">
        <v>50</v>
      </c>
      <c r="J250" s="75">
        <v>3610</v>
      </c>
      <c r="K250" s="75">
        <v>7220</v>
      </c>
    </row>
    <row r="251" spans="3:11" x14ac:dyDescent="0.2">
      <c r="C251" t="s">
        <v>490</v>
      </c>
      <c r="D251" s="75" t="s">
        <v>11</v>
      </c>
      <c r="E251" s="60">
        <v>2130</v>
      </c>
      <c r="F251" s="60">
        <v>4260</v>
      </c>
      <c r="G251" s="60"/>
      <c r="H251" s="60" t="s">
        <v>488</v>
      </c>
      <c r="I251" s="75" t="s">
        <v>11</v>
      </c>
      <c r="J251" s="75">
        <v>1650</v>
      </c>
      <c r="K251" s="75">
        <v>3300</v>
      </c>
    </row>
    <row r="252" spans="3:11" x14ac:dyDescent="0.2">
      <c r="C252" t="s">
        <v>434</v>
      </c>
      <c r="D252" s="60">
        <v>75</v>
      </c>
      <c r="E252" s="60">
        <v>984</v>
      </c>
      <c r="F252" s="60">
        <v>1968</v>
      </c>
      <c r="G252" s="60"/>
      <c r="H252" s="60" t="s">
        <v>491</v>
      </c>
      <c r="I252" s="75" t="s">
        <v>11</v>
      </c>
      <c r="J252" s="75">
        <v>1470</v>
      </c>
      <c r="K252" s="75">
        <v>2940</v>
      </c>
    </row>
    <row r="253" spans="3:11" x14ac:dyDescent="0.2">
      <c r="C253" t="s">
        <v>298</v>
      </c>
      <c r="D253" s="60">
        <v>68</v>
      </c>
      <c r="E253" s="60">
        <v>888</v>
      </c>
      <c r="F253" s="60">
        <v>1776</v>
      </c>
      <c r="G253" s="60"/>
      <c r="H253" s="60" t="s">
        <v>448</v>
      </c>
      <c r="I253" s="75">
        <v>38</v>
      </c>
      <c r="J253" s="75">
        <v>1500</v>
      </c>
      <c r="K253" s="75">
        <v>3000</v>
      </c>
    </row>
    <row r="254" spans="3:11" x14ac:dyDescent="0.2">
      <c r="C254" t="s">
        <v>178</v>
      </c>
      <c r="D254" s="60">
        <v>42</v>
      </c>
      <c r="E254" s="60">
        <v>909</v>
      </c>
      <c r="F254" s="60">
        <v>1818</v>
      </c>
      <c r="G254" s="60"/>
      <c r="H254" s="60" t="s">
        <v>1166</v>
      </c>
      <c r="I254" s="75">
        <v>26</v>
      </c>
      <c r="J254" s="75">
        <v>1706</v>
      </c>
      <c r="K254" s="75">
        <v>3412</v>
      </c>
    </row>
    <row r="255" spans="3:11" x14ac:dyDescent="0.2">
      <c r="C255" t="s">
        <v>300</v>
      </c>
      <c r="D255" s="60">
        <v>28</v>
      </c>
      <c r="E255" s="60">
        <v>800</v>
      </c>
      <c r="F255" s="60">
        <v>1600</v>
      </c>
      <c r="G255" s="60"/>
      <c r="H255" s="60" t="s">
        <v>442</v>
      </c>
      <c r="I255" s="75">
        <v>23</v>
      </c>
      <c r="J255" s="75">
        <v>850</v>
      </c>
      <c r="K255" s="75">
        <v>1700</v>
      </c>
    </row>
    <row r="256" spans="3:11" x14ac:dyDescent="0.2">
      <c r="C256" t="s">
        <v>301</v>
      </c>
      <c r="D256" s="60">
        <v>55</v>
      </c>
      <c r="E256" s="60">
        <v>756</v>
      </c>
      <c r="F256" s="60">
        <v>1512</v>
      </c>
      <c r="G256" s="60"/>
      <c r="H256" s="60" t="s">
        <v>476</v>
      </c>
      <c r="I256" s="75">
        <v>30</v>
      </c>
      <c r="J256" s="75">
        <v>834</v>
      </c>
      <c r="K256" s="75">
        <v>1668</v>
      </c>
    </row>
    <row r="257" spans="3:12" x14ac:dyDescent="0.2">
      <c r="C257" t="s">
        <v>435</v>
      </c>
      <c r="D257" s="60">
        <v>32</v>
      </c>
      <c r="E257" s="60">
        <v>546</v>
      </c>
      <c r="F257" s="60">
        <v>1092</v>
      </c>
      <c r="G257" s="60"/>
      <c r="H257" s="60" t="s">
        <v>129</v>
      </c>
      <c r="I257" s="75">
        <v>29</v>
      </c>
      <c r="J257" s="75">
        <v>716</v>
      </c>
      <c r="K257" s="75">
        <v>1432</v>
      </c>
    </row>
    <row r="258" spans="3:12" x14ac:dyDescent="0.2">
      <c r="C258" t="s">
        <v>302</v>
      </c>
      <c r="D258" s="60">
        <v>67</v>
      </c>
      <c r="E258" s="60">
        <v>900</v>
      </c>
      <c r="F258" s="60">
        <v>1800</v>
      </c>
      <c r="G258" s="60"/>
      <c r="H258" s="60" t="s">
        <v>450</v>
      </c>
      <c r="I258" s="75">
        <v>43</v>
      </c>
      <c r="J258" s="75">
        <v>484</v>
      </c>
      <c r="K258" s="75">
        <v>968</v>
      </c>
    </row>
    <row r="259" spans="3:12" x14ac:dyDescent="0.2">
      <c r="C259" t="s">
        <v>1136</v>
      </c>
      <c r="D259" s="60">
        <v>58</v>
      </c>
      <c r="E259" s="60">
        <v>575</v>
      </c>
      <c r="F259" s="60">
        <v>1150</v>
      </c>
      <c r="G259" s="60"/>
      <c r="H259" s="60" t="s">
        <v>269</v>
      </c>
      <c r="I259" s="75">
        <v>47</v>
      </c>
      <c r="J259" s="75">
        <v>249</v>
      </c>
      <c r="K259" s="75">
        <v>498</v>
      </c>
    </row>
    <row r="260" spans="3:12" x14ac:dyDescent="0.2">
      <c r="C260" t="s">
        <v>436</v>
      </c>
      <c r="D260" s="60">
        <v>67</v>
      </c>
      <c r="E260" s="60"/>
      <c r="F260" s="60"/>
      <c r="G260" s="60"/>
      <c r="H260" s="60" t="s">
        <v>466</v>
      </c>
      <c r="I260" s="75">
        <v>53</v>
      </c>
      <c r="J260" s="75">
        <v>423</v>
      </c>
      <c r="K260" s="75">
        <v>846</v>
      </c>
    </row>
    <row r="261" spans="3:12" x14ac:dyDescent="0.2">
      <c r="C261" t="s">
        <v>451</v>
      </c>
      <c r="D261" s="60">
        <v>53</v>
      </c>
      <c r="E261" s="60">
        <v>410</v>
      </c>
      <c r="F261" s="60">
        <v>820</v>
      </c>
      <c r="G261" s="60"/>
      <c r="H261" s="60" t="s">
        <v>265</v>
      </c>
      <c r="I261" s="75">
        <v>35</v>
      </c>
      <c r="J261" s="75">
        <v>414</v>
      </c>
      <c r="K261" s="75">
        <v>828</v>
      </c>
    </row>
    <row r="262" spans="3:12" x14ac:dyDescent="0.2">
      <c r="C262" t="s">
        <v>1172</v>
      </c>
      <c r="D262" s="60">
        <v>39</v>
      </c>
      <c r="E262" s="60">
        <v>305</v>
      </c>
      <c r="F262" s="60"/>
      <c r="G262" s="60"/>
      <c r="H262" s="60" t="s">
        <v>85</v>
      </c>
      <c r="I262" s="75">
        <v>45</v>
      </c>
      <c r="J262" s="75">
        <v>330</v>
      </c>
      <c r="K262" s="75">
        <v>660</v>
      </c>
    </row>
    <row r="263" spans="3:12" x14ac:dyDescent="0.2">
      <c r="C263" t="s">
        <v>1165</v>
      </c>
      <c r="D263" s="60">
        <v>60</v>
      </c>
      <c r="E263" s="60">
        <v>712</v>
      </c>
      <c r="F263" s="60">
        <v>1424</v>
      </c>
      <c r="G263" s="60"/>
      <c r="H263" s="60" t="s">
        <v>1151</v>
      </c>
      <c r="I263" s="75">
        <v>14</v>
      </c>
      <c r="J263" s="75">
        <v>210</v>
      </c>
      <c r="K263" s="75">
        <v>420</v>
      </c>
    </row>
    <row r="264" spans="3:12" x14ac:dyDescent="0.2">
      <c r="C264" t="s">
        <v>1162</v>
      </c>
      <c r="D264" s="60">
        <v>45</v>
      </c>
      <c r="E264" s="60">
        <v>484</v>
      </c>
      <c r="F264" s="60">
        <v>968</v>
      </c>
      <c r="G264" s="60"/>
      <c r="H264" s="60" t="s">
        <v>502</v>
      </c>
      <c r="I264" s="75">
        <v>26</v>
      </c>
      <c r="J264" s="75">
        <v>190</v>
      </c>
      <c r="K264" s="75">
        <v>380</v>
      </c>
    </row>
    <row r="265" spans="3:12" x14ac:dyDescent="0.2">
      <c r="C265" t="s">
        <v>1152</v>
      </c>
      <c r="D265" s="60">
        <v>39</v>
      </c>
      <c r="E265" s="60">
        <v>275</v>
      </c>
      <c r="F265" s="60">
        <v>550</v>
      </c>
      <c r="G265" s="60"/>
      <c r="H265" s="60" t="s">
        <v>474</v>
      </c>
      <c r="I265" s="75">
        <v>29</v>
      </c>
      <c r="J265" s="75">
        <v>167</v>
      </c>
      <c r="K265" s="75">
        <v>334</v>
      </c>
    </row>
    <row r="266" spans="3:12" x14ac:dyDescent="0.2">
      <c r="C266" t="s">
        <v>461</v>
      </c>
      <c r="D266" s="60">
        <v>14</v>
      </c>
      <c r="E266" s="60">
        <v>132</v>
      </c>
      <c r="F266" s="60">
        <v>264</v>
      </c>
      <c r="G266" s="60"/>
      <c r="H266" s="60" t="s">
        <v>475</v>
      </c>
      <c r="I266" s="75">
        <v>31</v>
      </c>
      <c r="J266" s="75">
        <v>121</v>
      </c>
      <c r="K266" s="75">
        <v>242</v>
      </c>
    </row>
    <row r="267" spans="3:12" x14ac:dyDescent="0.2">
      <c r="C267" t="s">
        <v>1163</v>
      </c>
      <c r="D267" s="60">
        <v>3</v>
      </c>
      <c r="E267" s="60">
        <v>130</v>
      </c>
      <c r="F267" s="60"/>
      <c r="G267" s="60"/>
      <c r="H267" s="60" t="s">
        <v>509</v>
      </c>
      <c r="I267" s="75">
        <v>13</v>
      </c>
      <c r="J267" s="75">
        <v>89</v>
      </c>
      <c r="K267" s="75">
        <v>178</v>
      </c>
    </row>
    <row r="268" spans="3:12" x14ac:dyDescent="0.2">
      <c r="C268" t="s">
        <v>161</v>
      </c>
      <c r="D268" s="60"/>
      <c r="E268" s="60">
        <v>9</v>
      </c>
      <c r="F268" s="60">
        <v>18</v>
      </c>
      <c r="G268" s="60"/>
      <c r="H268" s="60" t="s">
        <v>146</v>
      </c>
      <c r="I268" s="75">
        <v>12</v>
      </c>
      <c r="J268" s="75">
        <v>23</v>
      </c>
      <c r="K268" s="75">
        <v>46</v>
      </c>
    </row>
    <row r="269" spans="3:12" x14ac:dyDescent="0.2">
      <c r="D269" s="60"/>
      <c r="E269" s="94"/>
      <c r="F269" s="94"/>
      <c r="G269" s="60"/>
      <c r="H269" s="60"/>
      <c r="I269" s="75"/>
      <c r="J269" s="192"/>
      <c r="K269" s="192"/>
    </row>
    <row r="270" spans="3:12" x14ac:dyDescent="0.2">
      <c r="C270" s="31" t="s">
        <v>452</v>
      </c>
      <c r="D270" s="60"/>
      <c r="E270" s="137">
        <v>12060</v>
      </c>
      <c r="F270" s="137">
        <v>24120</v>
      </c>
      <c r="G270" s="60"/>
      <c r="H270" s="137" t="s">
        <v>194</v>
      </c>
      <c r="I270" s="75"/>
      <c r="J270" s="76">
        <v>15036</v>
      </c>
      <c r="K270" s="76">
        <v>30072</v>
      </c>
    </row>
    <row r="271" spans="3:12" x14ac:dyDescent="0.2">
      <c r="D271" s="60"/>
      <c r="E271" s="60"/>
      <c r="F271" s="60"/>
      <c r="G271" s="60"/>
      <c r="H271" s="60"/>
      <c r="I271" s="60"/>
      <c r="J271" s="60"/>
      <c r="K271" s="60"/>
      <c r="L271" s="60"/>
    </row>
    <row r="275" spans="3:7" ht="32" x14ac:dyDescent="0.2">
      <c r="C275" s="155" t="s">
        <v>370</v>
      </c>
      <c r="D275" s="155" t="s">
        <v>81</v>
      </c>
      <c r="E275" s="100" t="s">
        <v>373</v>
      </c>
      <c r="F275" s="100" t="s">
        <v>371</v>
      </c>
      <c r="G275" s="100" t="s">
        <v>31</v>
      </c>
    </row>
    <row r="276" spans="3:7" ht="80" x14ac:dyDescent="0.2">
      <c r="C276" s="238">
        <v>1</v>
      </c>
      <c r="D276" s="56" t="s">
        <v>302</v>
      </c>
      <c r="E276" s="57">
        <v>242</v>
      </c>
      <c r="F276" s="57">
        <v>67</v>
      </c>
      <c r="G276" s="127" t="s">
        <v>1246</v>
      </c>
    </row>
    <row r="277" spans="3:7" ht="48" x14ac:dyDescent="0.2">
      <c r="C277" s="238">
        <v>2</v>
      </c>
      <c r="D277" s="56" t="s">
        <v>297</v>
      </c>
      <c r="E277" s="57">
        <v>239</v>
      </c>
      <c r="F277" s="57">
        <v>75</v>
      </c>
      <c r="G277" s="127" t="s">
        <v>1247</v>
      </c>
    </row>
    <row r="278" spans="3:7" x14ac:dyDescent="0.2">
      <c r="C278" s="238">
        <v>3</v>
      </c>
      <c r="D278" s="56" t="s">
        <v>367</v>
      </c>
      <c r="E278" s="57">
        <v>220</v>
      </c>
      <c r="F278" s="57">
        <v>68</v>
      </c>
      <c r="G278" s="127" t="s">
        <v>1240</v>
      </c>
    </row>
    <row r="279" spans="3:7" x14ac:dyDescent="0.2">
      <c r="C279" s="238">
        <v>4</v>
      </c>
      <c r="D279" s="56" t="s">
        <v>1135</v>
      </c>
      <c r="E279" s="57">
        <v>218</v>
      </c>
      <c r="F279" s="57">
        <v>58</v>
      </c>
      <c r="G279" s="127" t="s">
        <v>457</v>
      </c>
    </row>
    <row r="280" spans="3:7" ht="48" x14ac:dyDescent="0.2">
      <c r="C280" s="238">
        <v>5</v>
      </c>
      <c r="D280" s="56" t="s">
        <v>374</v>
      </c>
      <c r="E280" s="57">
        <v>204.5</v>
      </c>
      <c r="F280" s="57">
        <v>50</v>
      </c>
      <c r="G280" s="127" t="s">
        <v>1241</v>
      </c>
    </row>
    <row r="281" spans="3:7" ht="48" x14ac:dyDescent="0.2">
      <c r="C281" s="238">
        <v>6</v>
      </c>
      <c r="D281" s="56" t="s">
        <v>376</v>
      </c>
      <c r="E281" s="57">
        <v>204</v>
      </c>
      <c r="F281" s="57">
        <v>60</v>
      </c>
      <c r="G281" s="127" t="s">
        <v>1242</v>
      </c>
    </row>
    <row r="282" spans="3:7" x14ac:dyDescent="0.2">
      <c r="C282" s="238">
        <v>7</v>
      </c>
      <c r="D282" s="56" t="s">
        <v>383</v>
      </c>
      <c r="E282" s="57">
        <v>200</v>
      </c>
      <c r="F282" s="57">
        <v>58</v>
      </c>
      <c r="G282" s="127" t="s">
        <v>1243</v>
      </c>
    </row>
    <row r="283" spans="3:7" x14ac:dyDescent="0.2">
      <c r="C283" s="238">
        <v>8</v>
      </c>
      <c r="D283" s="56" t="s">
        <v>429</v>
      </c>
      <c r="E283" s="57">
        <v>198.6</v>
      </c>
      <c r="F283" s="57">
        <v>51</v>
      </c>
      <c r="G283" s="127" t="s">
        <v>1243</v>
      </c>
    </row>
    <row r="284" spans="3:7" ht="32" x14ac:dyDescent="0.2">
      <c r="C284" s="238">
        <v>9</v>
      </c>
      <c r="D284" s="56" t="s">
        <v>28</v>
      </c>
      <c r="E284" s="57">
        <v>189</v>
      </c>
      <c r="F284" s="57">
        <v>53</v>
      </c>
      <c r="G284" s="127" t="s">
        <v>1248</v>
      </c>
    </row>
    <row r="285" spans="3:7" ht="32" x14ac:dyDescent="0.2">
      <c r="C285" s="238">
        <v>10</v>
      </c>
      <c r="D285" s="56" t="s">
        <v>368</v>
      </c>
      <c r="E285" s="57">
        <v>188.4</v>
      </c>
      <c r="F285" s="57">
        <v>55</v>
      </c>
      <c r="G285" s="127" t="s">
        <v>1245</v>
      </c>
    </row>
    <row r="286" spans="3:7" ht="32" x14ac:dyDescent="0.2">
      <c r="C286" s="238">
        <v>11</v>
      </c>
      <c r="D286" s="56" t="s">
        <v>375</v>
      </c>
      <c r="E286" s="57">
        <v>187</v>
      </c>
      <c r="F286" s="57">
        <v>53</v>
      </c>
      <c r="G286" s="127" t="s">
        <v>1244</v>
      </c>
    </row>
    <row r="287" spans="3:7" x14ac:dyDescent="0.2">
      <c r="C287" s="238">
        <v>12</v>
      </c>
      <c r="D287" s="56" t="s">
        <v>369</v>
      </c>
      <c r="E287" s="57">
        <v>180.6</v>
      </c>
      <c r="F287" s="57">
        <v>52</v>
      </c>
      <c r="G287" s="127" t="s">
        <v>1243</v>
      </c>
    </row>
  </sheetData>
  <sortState ref="B101:O165">
    <sortCondition descending="1" ref="E101:E165"/>
  </sortState>
  <phoneticPr fontId="10" type="noConversion"/>
  <pageMargins left="0.75000000000000011" right="0.75000000000000011" top="1" bottom="1" header="0.5" footer="0.5"/>
  <pageSetup paperSize="9" orientation="portrait" horizontalDpi="4294967292" verticalDpi="4294967292"/>
  <ignoredErrors>
    <ignoredError sqref="G61:H61"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A29"/>
  <sheetViews>
    <sheetView workbookViewId="0">
      <pane xSplit="1" topLeftCell="AO1" activePane="topRight" state="frozenSplit"/>
      <selection pane="topRight" activeCell="AY1" sqref="AY1:AY1048576"/>
    </sheetView>
  </sheetViews>
  <sheetFormatPr baseColWidth="10" defaultColWidth="10.1640625" defaultRowHeight="15" x14ac:dyDescent="0.2"/>
  <cols>
    <col min="1" max="5" width="10.1640625" style="349"/>
    <col min="6" max="7" width="12" style="349" bestFit="1" customWidth="1"/>
    <col min="8" max="8" width="18.83203125" style="349" customWidth="1"/>
    <col min="9" max="49" width="10.1640625" style="349"/>
    <col min="50" max="50" width="9.5" style="349" bestFit="1" customWidth="1"/>
    <col min="51" max="16384" width="10.1640625" style="349"/>
  </cols>
  <sheetData>
    <row r="2" spans="1:53" s="351" customFormat="1" ht="75" x14ac:dyDescent="0.2">
      <c r="A2" s="358" t="s">
        <v>1490</v>
      </c>
      <c r="B2" s="351" t="s">
        <v>1489</v>
      </c>
      <c r="C2" s="351" t="s">
        <v>1488</v>
      </c>
      <c r="D2" s="351" t="s">
        <v>1487</v>
      </c>
      <c r="E2" s="351" t="s">
        <v>188</v>
      </c>
      <c r="F2" s="351" t="s">
        <v>1486</v>
      </c>
      <c r="G2" s="351" t="s">
        <v>1485</v>
      </c>
      <c r="H2" s="351" t="s">
        <v>1484</v>
      </c>
      <c r="I2" s="351" t="s">
        <v>1483</v>
      </c>
      <c r="J2" s="351" t="s">
        <v>1408</v>
      </c>
      <c r="K2" s="351" t="s">
        <v>1482</v>
      </c>
      <c r="L2" s="351" t="s">
        <v>1481</v>
      </c>
      <c r="M2" s="351" t="s">
        <v>1256</v>
      </c>
      <c r="N2" s="351" t="s">
        <v>1480</v>
      </c>
      <c r="O2" s="351" t="s">
        <v>1479</v>
      </c>
      <c r="P2" s="351" t="s">
        <v>1478</v>
      </c>
      <c r="Q2" s="351" t="s">
        <v>1477</v>
      </c>
      <c r="R2" s="351" t="s">
        <v>1476</v>
      </c>
      <c r="S2" s="351" t="s">
        <v>1475</v>
      </c>
      <c r="T2" s="351" t="s">
        <v>1474</v>
      </c>
      <c r="U2" s="351" t="s">
        <v>1473</v>
      </c>
      <c r="V2" s="351" t="s">
        <v>1472</v>
      </c>
      <c r="W2" s="351" t="s">
        <v>1471</v>
      </c>
      <c r="X2" s="351" t="s">
        <v>1470</v>
      </c>
      <c r="Y2" s="351" t="s">
        <v>1469</v>
      </c>
      <c r="Z2" s="351" t="s">
        <v>238</v>
      </c>
      <c r="AA2" s="351" t="s">
        <v>1474</v>
      </c>
      <c r="AB2" s="351" t="s">
        <v>1473</v>
      </c>
      <c r="AC2" s="351" t="s">
        <v>1472</v>
      </c>
      <c r="AD2" s="351" t="s">
        <v>1471</v>
      </c>
      <c r="AE2" s="351" t="s">
        <v>1470</v>
      </c>
      <c r="AF2" s="351" t="s">
        <v>1469</v>
      </c>
      <c r="AG2" s="351" t="s">
        <v>238</v>
      </c>
      <c r="AH2" s="351" t="s">
        <v>1474</v>
      </c>
      <c r="AI2" s="351" t="s">
        <v>1473</v>
      </c>
      <c r="AJ2" s="351" t="s">
        <v>1472</v>
      </c>
      <c r="AK2" s="351" t="s">
        <v>1471</v>
      </c>
      <c r="AL2" s="351" t="s">
        <v>1470</v>
      </c>
      <c r="AM2" s="351" t="s">
        <v>1469</v>
      </c>
      <c r="AN2" s="351" t="s">
        <v>238</v>
      </c>
      <c r="AO2" s="351" t="s">
        <v>1468</v>
      </c>
      <c r="AP2" s="351" t="s">
        <v>1467</v>
      </c>
      <c r="AQ2" s="351" t="s">
        <v>1466</v>
      </c>
      <c r="AR2" s="351" t="s">
        <v>1465</v>
      </c>
      <c r="AS2" s="351" t="s">
        <v>1464</v>
      </c>
      <c r="AT2" s="351" t="s">
        <v>1463</v>
      </c>
      <c r="AU2" s="351" t="s">
        <v>1462</v>
      </c>
      <c r="AV2" s="351" t="s">
        <v>512</v>
      </c>
      <c r="AW2" s="351" t="s">
        <v>578</v>
      </c>
      <c r="AX2" s="351" t="s">
        <v>1461</v>
      </c>
      <c r="AY2" s="351" t="s">
        <v>1460</v>
      </c>
      <c r="AZ2" s="351" t="s">
        <v>1459</v>
      </c>
      <c r="BA2" s="351" t="s">
        <v>1458</v>
      </c>
    </row>
    <row r="3" spans="1:53" s="351" customFormat="1" ht="60" x14ac:dyDescent="0.2">
      <c r="A3" s="358" t="s">
        <v>1457</v>
      </c>
      <c r="B3" s="351" t="s">
        <v>1456</v>
      </c>
      <c r="D3" s="351" t="s">
        <v>1409</v>
      </c>
      <c r="F3" s="351" t="s">
        <v>1455</v>
      </c>
      <c r="G3" s="359" t="s">
        <v>1455</v>
      </c>
      <c r="I3" s="351" t="s">
        <v>110</v>
      </c>
      <c r="J3" s="351" t="s">
        <v>1454</v>
      </c>
      <c r="K3" s="351" t="s">
        <v>1453</v>
      </c>
      <c r="L3" s="351" t="s">
        <v>1452</v>
      </c>
      <c r="M3" s="351" t="s">
        <v>1256</v>
      </c>
      <c r="N3" s="351" t="s">
        <v>1451</v>
      </c>
      <c r="O3" s="351" t="s">
        <v>1451</v>
      </c>
      <c r="P3" s="351" t="s">
        <v>1451</v>
      </c>
      <c r="Q3" s="351" t="s">
        <v>1451</v>
      </c>
      <c r="R3" s="351" t="s">
        <v>1451</v>
      </c>
      <c r="S3" s="351" t="s">
        <v>1450</v>
      </c>
      <c r="T3" s="351" t="s">
        <v>1449</v>
      </c>
      <c r="AQ3" s="351" t="s">
        <v>1448</v>
      </c>
      <c r="AR3" s="351" t="s">
        <v>1447</v>
      </c>
      <c r="AS3" s="351" t="s">
        <v>1447</v>
      </c>
      <c r="AT3" s="351" t="s">
        <v>1446</v>
      </c>
    </row>
    <row r="4" spans="1:53" s="351" customFormat="1" ht="60" x14ac:dyDescent="0.2">
      <c r="A4" s="358" t="s">
        <v>1445</v>
      </c>
      <c r="T4" s="351" t="s">
        <v>1444</v>
      </c>
      <c r="AA4" s="351" t="s">
        <v>1443</v>
      </c>
      <c r="AH4" s="351" t="s">
        <v>1442</v>
      </c>
      <c r="AV4" s="351" t="s">
        <v>1441</v>
      </c>
      <c r="AY4" s="351" t="s">
        <v>1440</v>
      </c>
    </row>
    <row r="5" spans="1:53" s="351" customFormat="1" ht="30" x14ac:dyDescent="0.2">
      <c r="A5" s="358" t="s">
        <v>1439</v>
      </c>
      <c r="B5" s="351" t="s">
        <v>1437</v>
      </c>
      <c r="C5" s="351" t="s">
        <v>1437</v>
      </c>
      <c r="D5" s="351" t="s">
        <v>1437</v>
      </c>
      <c r="E5" s="351" t="s">
        <v>1437</v>
      </c>
      <c r="F5" s="351" t="s">
        <v>1437</v>
      </c>
      <c r="G5" s="351" t="s">
        <v>1437</v>
      </c>
      <c r="H5" s="351" t="s">
        <v>1437</v>
      </c>
      <c r="I5" s="351" t="s">
        <v>1437</v>
      </c>
      <c r="J5" s="351" t="s">
        <v>1437</v>
      </c>
      <c r="K5" s="351" t="s">
        <v>1437</v>
      </c>
      <c r="L5" s="351" t="s">
        <v>1437</v>
      </c>
      <c r="M5" s="351" t="s">
        <v>1437</v>
      </c>
      <c r="N5" s="351" t="s">
        <v>1437</v>
      </c>
      <c r="O5" s="351" t="s">
        <v>1437</v>
      </c>
      <c r="P5" s="351" t="s">
        <v>1437</v>
      </c>
      <c r="Q5" s="351" t="s">
        <v>1437</v>
      </c>
      <c r="R5" s="351" t="s">
        <v>1437</v>
      </c>
      <c r="S5" s="351" t="s">
        <v>1437</v>
      </c>
      <c r="T5" s="351" t="s">
        <v>1437</v>
      </c>
      <c r="U5" s="351" t="s">
        <v>1437</v>
      </c>
      <c r="V5" s="351" t="s">
        <v>1437</v>
      </c>
      <c r="W5" s="351" t="s">
        <v>1437</v>
      </c>
      <c r="X5" s="351" t="s">
        <v>1437</v>
      </c>
      <c r="Y5" s="351" t="s">
        <v>1437</v>
      </c>
      <c r="Z5" s="351" t="s">
        <v>1437</v>
      </c>
      <c r="AA5" s="351" t="s">
        <v>1437</v>
      </c>
      <c r="AB5" s="351" t="s">
        <v>1437</v>
      </c>
      <c r="AC5" s="351" t="s">
        <v>1437</v>
      </c>
      <c r="AD5" s="351" t="s">
        <v>1437</v>
      </c>
      <c r="AE5" s="351" t="s">
        <v>1437</v>
      </c>
      <c r="AF5" s="351" t="s">
        <v>1437</v>
      </c>
      <c r="AG5" s="351" t="s">
        <v>1438</v>
      </c>
      <c r="AH5" s="351" t="s">
        <v>1437</v>
      </c>
      <c r="AI5" s="351" t="s">
        <v>1437</v>
      </c>
      <c r="AJ5" s="351" t="s">
        <v>1437</v>
      </c>
      <c r="AK5" s="351" t="s">
        <v>1437</v>
      </c>
      <c r="AL5" s="351" t="s">
        <v>1437</v>
      </c>
      <c r="AM5" s="351" t="s">
        <v>1437</v>
      </c>
      <c r="AN5" s="351" t="s">
        <v>1438</v>
      </c>
      <c r="AO5" s="351" t="s">
        <v>1438</v>
      </c>
      <c r="AP5" s="351" t="s">
        <v>1437</v>
      </c>
      <c r="AQ5" s="351" t="s">
        <v>1437</v>
      </c>
      <c r="AR5" s="351" t="s">
        <v>1437</v>
      </c>
      <c r="AS5" s="351" t="s">
        <v>1437</v>
      </c>
      <c r="AT5" s="351" t="s">
        <v>1437</v>
      </c>
      <c r="AU5" s="351" t="s">
        <v>1437</v>
      </c>
      <c r="AV5" s="351" t="s">
        <v>1437</v>
      </c>
      <c r="AW5" s="351" t="s">
        <v>1437</v>
      </c>
      <c r="AX5" s="351" t="s">
        <v>1437</v>
      </c>
      <c r="AY5" s="351" t="s">
        <v>1437</v>
      </c>
      <c r="AZ5" s="351" t="s">
        <v>1436</v>
      </c>
      <c r="BA5" s="351" t="s">
        <v>1436</v>
      </c>
    </row>
    <row r="6" spans="1:53" s="351" customFormat="1" ht="150" x14ac:dyDescent="0.2">
      <c r="A6" s="358" t="s">
        <v>1351</v>
      </c>
      <c r="E6" s="351" t="s">
        <v>1435</v>
      </c>
      <c r="G6" s="351" t="s">
        <v>1434</v>
      </c>
      <c r="I6" s="351" t="s">
        <v>1424</v>
      </c>
      <c r="M6" s="351" t="s">
        <v>1433</v>
      </c>
      <c r="AP6" s="351" t="s">
        <v>1432</v>
      </c>
      <c r="AR6" s="351" t="s">
        <v>1431</v>
      </c>
      <c r="AS6" s="351" t="s">
        <v>1431</v>
      </c>
      <c r="AT6" s="351" t="s">
        <v>1430</v>
      </c>
      <c r="AU6" s="351" t="s">
        <v>1430</v>
      </c>
    </row>
    <row r="7" spans="1:53" s="351" customFormat="1" x14ac:dyDescent="0.2"/>
    <row r="8" spans="1:53" s="350" customFormat="1" ht="150" x14ac:dyDescent="0.2">
      <c r="A8" s="352" t="s">
        <v>1428</v>
      </c>
      <c r="B8" s="351" t="s">
        <v>1427</v>
      </c>
      <c r="C8" s="351"/>
      <c r="D8" s="351" t="s">
        <v>1426</v>
      </c>
      <c r="E8" s="351" t="s">
        <v>24</v>
      </c>
      <c r="F8" s="356">
        <v>42159</v>
      </c>
      <c r="G8" s="356">
        <v>42206</v>
      </c>
      <c r="H8" s="351" t="s">
        <v>1425</v>
      </c>
      <c r="I8" s="351" t="s">
        <v>1424</v>
      </c>
      <c r="J8" s="351">
        <v>2.6</v>
      </c>
      <c r="K8" s="351">
        <v>645</v>
      </c>
      <c r="L8" s="351">
        <v>1785</v>
      </c>
      <c r="M8" s="355" t="s">
        <v>1423</v>
      </c>
      <c r="N8" s="351">
        <v>507</v>
      </c>
      <c r="O8" s="351">
        <v>450</v>
      </c>
      <c r="P8" s="351">
        <v>178</v>
      </c>
      <c r="Q8" s="351">
        <v>183</v>
      </c>
      <c r="R8" s="351">
        <v>89</v>
      </c>
      <c r="S8" s="354">
        <v>5068</v>
      </c>
      <c r="T8" s="354">
        <v>153</v>
      </c>
      <c r="U8" s="354">
        <v>367</v>
      </c>
      <c r="V8" s="354">
        <v>471</v>
      </c>
      <c r="W8" s="354">
        <v>181</v>
      </c>
      <c r="X8" s="354">
        <v>3</v>
      </c>
      <c r="Y8" s="354">
        <v>0</v>
      </c>
      <c r="Z8" s="354">
        <f>SUM(T8:Y8)</f>
        <v>1175</v>
      </c>
      <c r="AA8" s="354">
        <v>0</v>
      </c>
      <c r="AB8" s="354">
        <v>32</v>
      </c>
      <c r="AC8" s="354">
        <v>52</v>
      </c>
      <c r="AD8" s="354">
        <v>146</v>
      </c>
      <c r="AE8" s="354">
        <v>10</v>
      </c>
      <c r="AF8" s="354">
        <v>0</v>
      </c>
      <c r="AG8" s="354">
        <f>SUM(AA8:AF8)</f>
        <v>240</v>
      </c>
      <c r="AH8" s="354">
        <v>1</v>
      </c>
      <c r="AI8" s="354">
        <v>23</v>
      </c>
      <c r="AJ8" s="354">
        <v>42</v>
      </c>
      <c r="AK8" s="354">
        <v>19</v>
      </c>
      <c r="AL8" s="354">
        <v>0</v>
      </c>
      <c r="AM8" s="354">
        <v>0</v>
      </c>
      <c r="AN8" s="354">
        <f>SUM(AH8:AM8)</f>
        <v>85</v>
      </c>
      <c r="AO8" s="354">
        <f>AN8+AG8+Z8</f>
        <v>1500</v>
      </c>
      <c r="AP8" s="351">
        <v>244</v>
      </c>
      <c r="AQ8" s="351">
        <v>3304</v>
      </c>
      <c r="AR8" s="351">
        <v>146.6</v>
      </c>
      <c r="AS8" s="351">
        <v>45</v>
      </c>
      <c r="AT8" s="353">
        <v>890325</v>
      </c>
      <c r="AU8" s="351"/>
      <c r="AV8" s="351"/>
      <c r="AW8" s="351"/>
      <c r="AX8" s="351"/>
      <c r="AY8" s="357" t="s">
        <v>1429</v>
      </c>
      <c r="AZ8" s="351"/>
      <c r="BA8" s="351"/>
    </row>
    <row r="9" spans="1:53" s="350" customFormat="1" ht="30" x14ac:dyDescent="0.2">
      <c r="A9" s="352" t="s">
        <v>1422</v>
      </c>
      <c r="B9" s="351" t="s">
        <v>1420</v>
      </c>
      <c r="C9" s="351" t="s">
        <v>1420</v>
      </c>
      <c r="D9" s="351" t="s">
        <v>1420</v>
      </c>
      <c r="E9" s="351" t="s">
        <v>1420</v>
      </c>
      <c r="F9" s="351" t="s">
        <v>1420</v>
      </c>
      <c r="G9" s="351" t="s">
        <v>1421</v>
      </c>
      <c r="H9" s="351" t="s">
        <v>1420</v>
      </c>
      <c r="I9" s="351" t="s">
        <v>1419</v>
      </c>
      <c r="J9" s="351" t="s">
        <v>1418</v>
      </c>
      <c r="K9" s="351" t="s">
        <v>1418</v>
      </c>
      <c r="L9" s="351" t="s">
        <v>1418</v>
      </c>
      <c r="M9" s="351" t="s">
        <v>1417</v>
      </c>
      <c r="N9" s="351" t="s">
        <v>1416</v>
      </c>
      <c r="O9" s="351" t="s">
        <v>1416</v>
      </c>
      <c r="P9" s="351" t="s">
        <v>1416</v>
      </c>
      <c r="Q9" s="351" t="s">
        <v>1416</v>
      </c>
      <c r="R9" s="351" t="s">
        <v>1416</v>
      </c>
      <c r="S9" s="351" t="s">
        <v>1415</v>
      </c>
      <c r="T9" s="351" t="s">
        <v>1414</v>
      </c>
      <c r="U9" s="351" t="s">
        <v>1414</v>
      </c>
      <c r="V9" s="351" t="s">
        <v>1414</v>
      </c>
      <c r="W9" s="351" t="s">
        <v>1414</v>
      </c>
      <c r="X9" s="351" t="s">
        <v>1414</v>
      </c>
      <c r="Y9" s="351" t="s">
        <v>1414</v>
      </c>
      <c r="Z9" s="351"/>
      <c r="AA9" s="351" t="s">
        <v>1414</v>
      </c>
      <c r="AB9" s="351" t="s">
        <v>1414</v>
      </c>
      <c r="AC9" s="351" t="s">
        <v>1414</v>
      </c>
      <c r="AD9" s="351" t="s">
        <v>1414</v>
      </c>
      <c r="AE9" s="351" t="s">
        <v>1414</v>
      </c>
      <c r="AF9" s="351" t="s">
        <v>1414</v>
      </c>
      <c r="AG9" s="351"/>
      <c r="AH9" s="351" t="s">
        <v>1414</v>
      </c>
      <c r="AI9" s="351" t="s">
        <v>1414</v>
      </c>
      <c r="AJ9" s="351" t="s">
        <v>1414</v>
      </c>
      <c r="AK9" s="351" t="s">
        <v>1414</v>
      </c>
      <c r="AL9" s="351" t="s">
        <v>1414</v>
      </c>
      <c r="AM9" s="351"/>
      <c r="AN9" s="351"/>
      <c r="AO9" s="351"/>
      <c r="AP9" s="351" t="s">
        <v>1413</v>
      </c>
      <c r="AQ9" s="351" t="s">
        <v>1412</v>
      </c>
      <c r="AR9" s="351" t="s">
        <v>1411</v>
      </c>
      <c r="AS9" s="351" t="s">
        <v>1411</v>
      </c>
      <c r="AT9" s="351" t="s">
        <v>1410</v>
      </c>
      <c r="AU9" s="351"/>
      <c r="AV9" s="351"/>
      <c r="AW9" s="351"/>
      <c r="AX9" s="351"/>
      <c r="AY9" s="351"/>
      <c r="AZ9" s="351"/>
      <c r="BA9" s="351"/>
    </row>
    <row r="10" spans="1:53" s="350" customFormat="1" x14ac:dyDescent="0.2"/>
    <row r="11" spans="1:53" s="350" customFormat="1" ht="16" x14ac:dyDescent="0.2">
      <c r="E11" s="360" t="s">
        <v>1398</v>
      </c>
    </row>
    <row r="12" spans="1:53" ht="16" x14ac:dyDescent="0.2">
      <c r="E12" s="360" t="s">
        <v>1399</v>
      </c>
    </row>
    <row r="13" spans="1:53" ht="16" x14ac:dyDescent="0.2">
      <c r="E13" s="360" t="s">
        <v>1400</v>
      </c>
    </row>
    <row r="14" spans="1:53" ht="16" x14ac:dyDescent="0.2">
      <c r="E14" s="360" t="s">
        <v>1491</v>
      </c>
    </row>
    <row r="15" spans="1:53" ht="16" x14ac:dyDescent="0.2">
      <c r="E15"/>
    </row>
    <row r="16" spans="1:53" ht="16" x14ac:dyDescent="0.2">
      <c r="E16" s="360" t="s">
        <v>1401</v>
      </c>
    </row>
    <row r="17" spans="5:5" ht="16" x14ac:dyDescent="0.2">
      <c r="E17" s="360" t="s">
        <v>1492</v>
      </c>
    </row>
    <row r="18" spans="5:5" ht="16" x14ac:dyDescent="0.2">
      <c r="E18"/>
    </row>
    <row r="19" spans="5:5" ht="16" x14ac:dyDescent="0.2">
      <c r="E19" s="360" t="s">
        <v>1402</v>
      </c>
    </row>
    <row r="20" spans="5:5" ht="16" x14ac:dyDescent="0.2">
      <c r="E20" s="360" t="s">
        <v>1403</v>
      </c>
    </row>
    <row r="21" spans="5:5" ht="16" x14ac:dyDescent="0.2">
      <c r="E21" s="360" t="s">
        <v>1404</v>
      </c>
    </row>
    <row r="22" spans="5:5" ht="16" x14ac:dyDescent="0.2">
      <c r="E22" s="360" t="s">
        <v>1493</v>
      </c>
    </row>
    <row r="23" spans="5:5" ht="16" x14ac:dyDescent="0.2">
      <c r="E23"/>
    </row>
    <row r="24" spans="5:5" ht="16" x14ac:dyDescent="0.2">
      <c r="E24" s="360" t="s">
        <v>1405</v>
      </c>
    </row>
    <row r="25" spans="5:5" ht="16" x14ac:dyDescent="0.2">
      <c r="E25" s="360" t="s">
        <v>1406</v>
      </c>
    </row>
    <row r="26" spans="5:5" ht="16" x14ac:dyDescent="0.2">
      <c r="E26" s="360" t="s">
        <v>1494</v>
      </c>
    </row>
    <row r="27" spans="5:5" ht="16" x14ac:dyDescent="0.2">
      <c r="E27"/>
    </row>
    <row r="28" spans="5:5" ht="16" x14ac:dyDescent="0.2">
      <c r="E28" s="360" t="s">
        <v>1407</v>
      </c>
    </row>
    <row r="29" spans="5:5" ht="16" x14ac:dyDescent="0.2">
      <c r="E29" s="360" t="s">
        <v>1495</v>
      </c>
    </row>
  </sheetData>
  <hyperlinks>
    <hyperlink ref="AY8" r:id="rId1"/>
  </hyperlinks>
  <pageMargins left="0.7" right="0.7" top="0.75" bottom="0.75" header="0.3" footer="0.3"/>
  <pageSetup paperSize="9" orientation="portrait"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41"/>
  <sheetViews>
    <sheetView showGridLines="0" workbookViewId="0">
      <selection activeCell="H30" sqref="H30"/>
    </sheetView>
  </sheetViews>
  <sheetFormatPr baseColWidth="10" defaultRowHeight="16" x14ac:dyDescent="0.2"/>
  <cols>
    <col min="2" max="2" width="19.33203125" bestFit="1" customWidth="1"/>
    <col min="10" max="10" width="14" customWidth="1"/>
    <col min="11" max="11" width="13.5" customWidth="1"/>
    <col min="12" max="13" width="17.33203125" customWidth="1"/>
    <col min="14" max="14" width="32.1640625" bestFit="1" customWidth="1"/>
  </cols>
  <sheetData>
    <row r="6" spans="2:16" x14ac:dyDescent="0.2">
      <c r="C6" s="70" t="s">
        <v>311</v>
      </c>
      <c r="D6" s="70" t="s">
        <v>312</v>
      </c>
      <c r="E6" s="70" t="s">
        <v>313</v>
      </c>
      <c r="F6" s="70" t="s">
        <v>238</v>
      </c>
    </row>
    <row r="7" spans="2:16" ht="19" x14ac:dyDescent="0.25">
      <c r="J7" s="141" t="s">
        <v>319</v>
      </c>
      <c r="K7" s="142"/>
      <c r="L7" s="142"/>
      <c r="M7" s="142"/>
      <c r="N7" s="142"/>
      <c r="P7" s="32" t="s">
        <v>328</v>
      </c>
    </row>
    <row r="8" spans="2:16" ht="58" thickBot="1" x14ac:dyDescent="0.3">
      <c r="B8" t="s">
        <v>24</v>
      </c>
      <c r="C8" s="60">
        <v>260</v>
      </c>
      <c r="D8" s="60">
        <v>2380</v>
      </c>
      <c r="E8" s="60"/>
      <c r="F8" s="137">
        <f>SUM(C8:E8)</f>
        <v>2640</v>
      </c>
      <c r="J8" s="142"/>
      <c r="K8" s="149" t="s">
        <v>326</v>
      </c>
      <c r="L8" s="149" t="s">
        <v>320</v>
      </c>
      <c r="M8" s="149" t="s">
        <v>193</v>
      </c>
      <c r="N8" s="142"/>
      <c r="P8" t="s">
        <v>329</v>
      </c>
    </row>
    <row r="9" spans="2:16" ht="19" x14ac:dyDescent="0.25">
      <c r="C9" s="60"/>
      <c r="D9" s="60"/>
      <c r="E9" s="60"/>
      <c r="F9" s="137"/>
      <c r="J9" s="142"/>
      <c r="K9" s="143"/>
      <c r="L9" s="143"/>
      <c r="M9" s="143"/>
      <c r="N9" s="142"/>
      <c r="P9" t="s">
        <v>330</v>
      </c>
    </row>
    <row r="10" spans="2:16" ht="19" x14ac:dyDescent="0.25">
      <c r="B10" t="s">
        <v>314</v>
      </c>
      <c r="C10" s="60">
        <v>3720</v>
      </c>
      <c r="D10" s="60">
        <v>1480</v>
      </c>
      <c r="E10" s="60">
        <v>950</v>
      </c>
      <c r="F10" s="137">
        <f>SUM(C10:E10)</f>
        <v>6150</v>
      </c>
      <c r="G10" s="60"/>
      <c r="J10" s="142" t="s">
        <v>363</v>
      </c>
      <c r="K10" s="143"/>
      <c r="L10" s="148">
        <v>2932</v>
      </c>
      <c r="M10" s="148"/>
      <c r="N10" s="142" t="s">
        <v>366</v>
      </c>
      <c r="P10" t="s">
        <v>331</v>
      </c>
    </row>
    <row r="11" spans="2:16" ht="19" x14ac:dyDescent="0.25">
      <c r="C11" s="60"/>
      <c r="D11" s="60"/>
      <c r="E11" s="60"/>
      <c r="F11" s="137"/>
      <c r="J11" s="142"/>
      <c r="K11" s="143"/>
      <c r="L11" s="143"/>
      <c r="M11" s="143"/>
      <c r="N11" s="142"/>
      <c r="P11" t="s">
        <v>332</v>
      </c>
    </row>
    <row r="12" spans="2:16" ht="19" x14ac:dyDescent="0.25">
      <c r="B12" t="s">
        <v>315</v>
      </c>
      <c r="C12" s="60">
        <v>0</v>
      </c>
      <c r="D12" s="60">
        <v>2580</v>
      </c>
      <c r="E12" s="60">
        <v>1610</v>
      </c>
      <c r="F12" s="137">
        <f>SUM(C12:E12)</f>
        <v>4190</v>
      </c>
      <c r="J12" s="144" t="s">
        <v>321</v>
      </c>
      <c r="K12" s="145">
        <v>1100</v>
      </c>
      <c r="L12" s="145">
        <v>8420</v>
      </c>
      <c r="M12" s="150">
        <f>L12/$L$10-1</f>
        <v>1.8717598908594817</v>
      </c>
      <c r="N12" s="142" t="s">
        <v>364</v>
      </c>
      <c r="P12" t="s">
        <v>333</v>
      </c>
    </row>
    <row r="13" spans="2:16" ht="19" x14ac:dyDescent="0.25">
      <c r="C13" s="60"/>
      <c r="D13" s="60"/>
      <c r="E13" s="60"/>
      <c r="F13" s="137"/>
      <c r="J13" s="144" t="s">
        <v>322</v>
      </c>
      <c r="K13" s="145">
        <v>2000</v>
      </c>
      <c r="L13" s="145">
        <v>15309</v>
      </c>
      <c r="M13" s="150">
        <f>L13/$L$10-1</f>
        <v>4.2213506139154164</v>
      </c>
      <c r="N13" s="142"/>
      <c r="P13" t="s">
        <v>334</v>
      </c>
    </row>
    <row r="14" spans="2:16" ht="19" x14ac:dyDescent="0.25">
      <c r="B14" s="31" t="s">
        <v>238</v>
      </c>
      <c r="C14" s="137">
        <f>SUM(C8:C12)</f>
        <v>3980</v>
      </c>
      <c r="D14" s="137">
        <f>SUM(D8:D12)</f>
        <v>6440</v>
      </c>
      <c r="E14" s="137">
        <f>SUM(E8:E12)</f>
        <v>2560</v>
      </c>
      <c r="F14" s="137">
        <f>SUM(F8:F12)</f>
        <v>12980</v>
      </c>
      <c r="J14" s="144" t="s">
        <v>323</v>
      </c>
      <c r="K14" s="145">
        <v>3000</v>
      </c>
      <c r="L14" s="145">
        <v>22964</v>
      </c>
      <c r="M14" s="150">
        <f>L14/$L$10-1</f>
        <v>6.8321964529331511</v>
      </c>
      <c r="N14" s="142"/>
      <c r="P14" t="s">
        <v>335</v>
      </c>
    </row>
    <row r="15" spans="2:16" ht="15" customHeight="1" x14ac:dyDescent="0.25">
      <c r="C15" s="60"/>
      <c r="D15" s="60"/>
      <c r="E15" s="60"/>
      <c r="F15" s="137"/>
      <c r="J15" s="144" t="s">
        <v>324</v>
      </c>
      <c r="K15" s="145">
        <v>4500</v>
      </c>
      <c r="L15" s="145">
        <v>34445</v>
      </c>
      <c r="M15" s="150">
        <f>L15/$L$10-1</f>
        <v>10.747953615279673</v>
      </c>
      <c r="N15" s="142"/>
      <c r="P15" t="s">
        <v>336</v>
      </c>
    </row>
    <row r="16" spans="2:16" ht="19" x14ac:dyDescent="0.25">
      <c r="B16" t="s">
        <v>316</v>
      </c>
      <c r="C16" s="60">
        <v>520</v>
      </c>
      <c r="D16" s="60">
        <v>1650</v>
      </c>
      <c r="E16" s="60">
        <v>1880</v>
      </c>
      <c r="F16" s="137">
        <f>SUM(C16:E16)</f>
        <v>4050</v>
      </c>
      <c r="J16" s="146" t="s">
        <v>325</v>
      </c>
      <c r="K16" s="147">
        <v>7000</v>
      </c>
      <c r="L16" s="147">
        <v>64048</v>
      </c>
      <c r="M16" s="150">
        <f>L16/$L$10-1</f>
        <v>20.844474761255118</v>
      </c>
      <c r="N16" s="142"/>
      <c r="P16" t="s">
        <v>337</v>
      </c>
    </row>
    <row r="17" spans="2:16" x14ac:dyDescent="0.2">
      <c r="C17" s="60"/>
      <c r="D17" s="60"/>
      <c r="E17" s="60"/>
      <c r="F17" s="137"/>
      <c r="P17" t="s">
        <v>338</v>
      </c>
    </row>
    <row r="18" spans="2:16" x14ac:dyDescent="0.2">
      <c r="B18" s="31" t="s">
        <v>82</v>
      </c>
      <c r="C18" s="137">
        <f>C14+C16</f>
        <v>4500</v>
      </c>
      <c r="D18" s="137">
        <f>D14+D16</f>
        <v>8090</v>
      </c>
      <c r="E18" s="137">
        <f>E14+E16</f>
        <v>4440</v>
      </c>
      <c r="F18" s="137">
        <f>F14+F16</f>
        <v>17030</v>
      </c>
      <c r="J18" s="616" t="s">
        <v>327</v>
      </c>
      <c r="K18" s="616"/>
      <c r="L18" s="616"/>
      <c r="M18" s="616"/>
      <c r="N18" s="616"/>
      <c r="P18" t="s">
        <v>339</v>
      </c>
    </row>
    <row r="19" spans="2:16" x14ac:dyDescent="0.2">
      <c r="C19" s="60"/>
      <c r="D19" s="60"/>
      <c r="E19" s="60"/>
      <c r="F19" s="137"/>
      <c r="J19" s="616"/>
      <c r="K19" s="616"/>
      <c r="L19" s="616"/>
      <c r="M19" s="616"/>
      <c r="N19" s="616"/>
      <c r="P19" t="s">
        <v>340</v>
      </c>
    </row>
    <row r="20" spans="2:16" x14ac:dyDescent="0.2">
      <c r="B20" t="s">
        <v>317</v>
      </c>
      <c r="C20" s="60">
        <v>13930</v>
      </c>
      <c r="D20" s="60">
        <v>21450</v>
      </c>
      <c r="E20" s="60">
        <v>7790</v>
      </c>
      <c r="F20" s="137">
        <f>SUM(C20:E20)</f>
        <v>43170</v>
      </c>
      <c r="J20" s="616"/>
      <c r="K20" s="616"/>
      <c r="L20" s="616"/>
      <c r="M20" s="616"/>
      <c r="N20" s="616"/>
      <c r="P20" t="s">
        <v>341</v>
      </c>
    </row>
    <row r="21" spans="2:16" x14ac:dyDescent="0.2">
      <c r="B21" t="s">
        <v>318</v>
      </c>
      <c r="C21" s="139">
        <f>C18/C20</f>
        <v>0.32304379038047382</v>
      </c>
      <c r="D21" s="139">
        <f>D18/D20</f>
        <v>0.37715617715617716</v>
      </c>
      <c r="E21" s="139">
        <f>E18/E20</f>
        <v>0.56996148908857514</v>
      </c>
      <c r="F21" s="140">
        <f>F18/F20</f>
        <v>0.39448691220755155</v>
      </c>
      <c r="P21" t="s">
        <v>342</v>
      </c>
    </row>
    <row r="22" spans="2:16" x14ac:dyDescent="0.2">
      <c r="C22" s="60"/>
      <c r="D22" s="60"/>
      <c r="E22" s="60"/>
      <c r="F22" s="60"/>
      <c r="P22" t="s">
        <v>343</v>
      </c>
    </row>
    <row r="23" spans="2:16" x14ac:dyDescent="0.2">
      <c r="P23" t="s">
        <v>344</v>
      </c>
    </row>
    <row r="24" spans="2:16" x14ac:dyDescent="0.2">
      <c r="P24" t="s">
        <v>345</v>
      </c>
    </row>
    <row r="25" spans="2:16" x14ac:dyDescent="0.2">
      <c r="P25" t="s">
        <v>346</v>
      </c>
    </row>
    <row r="26" spans="2:16" x14ac:dyDescent="0.2">
      <c r="P26" t="s">
        <v>347</v>
      </c>
    </row>
    <row r="27" spans="2:16" x14ac:dyDescent="0.2">
      <c r="P27" t="s">
        <v>348</v>
      </c>
    </row>
    <row r="28" spans="2:16" x14ac:dyDescent="0.2">
      <c r="P28" t="s">
        <v>349</v>
      </c>
    </row>
    <row r="29" spans="2:16" x14ac:dyDescent="0.2">
      <c r="P29" t="s">
        <v>350</v>
      </c>
    </row>
    <row r="30" spans="2:16" x14ac:dyDescent="0.2">
      <c r="P30" t="s">
        <v>351</v>
      </c>
    </row>
    <row r="31" spans="2:16" x14ac:dyDescent="0.2">
      <c r="P31" t="s">
        <v>352</v>
      </c>
    </row>
    <row r="32" spans="2:16" x14ac:dyDescent="0.2">
      <c r="P32" t="s">
        <v>353</v>
      </c>
    </row>
    <row r="33" spans="16:16" x14ac:dyDescent="0.2">
      <c r="P33" t="s">
        <v>354</v>
      </c>
    </row>
    <row r="34" spans="16:16" x14ac:dyDescent="0.2">
      <c r="P34" t="s">
        <v>355</v>
      </c>
    </row>
    <row r="35" spans="16:16" x14ac:dyDescent="0.2">
      <c r="P35" t="s">
        <v>356</v>
      </c>
    </row>
    <row r="36" spans="16:16" x14ac:dyDescent="0.2">
      <c r="P36" t="s">
        <v>357</v>
      </c>
    </row>
    <row r="37" spans="16:16" x14ac:dyDescent="0.2">
      <c r="P37" t="s">
        <v>358</v>
      </c>
    </row>
    <row r="38" spans="16:16" x14ac:dyDescent="0.2">
      <c r="P38" t="s">
        <v>359</v>
      </c>
    </row>
    <row r="39" spans="16:16" x14ac:dyDescent="0.2">
      <c r="P39" t="s">
        <v>360</v>
      </c>
    </row>
    <row r="40" spans="16:16" x14ac:dyDescent="0.2">
      <c r="P40" t="s">
        <v>361</v>
      </c>
    </row>
    <row r="41" spans="16:16" x14ac:dyDescent="0.2">
      <c r="P41" t="s">
        <v>362</v>
      </c>
    </row>
  </sheetData>
  <mergeCells count="1">
    <mergeCell ref="J18:N20"/>
  </mergeCells>
  <pageMargins left="0.75" right="0.75" top="1" bottom="1" header="0.5" footer="0.5"/>
  <pageSetup paperSize="9"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3"/>
  <sheetViews>
    <sheetView workbookViewId="0">
      <selection activeCell="C28" sqref="C28"/>
    </sheetView>
  </sheetViews>
  <sheetFormatPr baseColWidth="10" defaultRowHeight="16" x14ac:dyDescent="0.2"/>
  <cols>
    <col min="3" max="3" width="36.1640625" bestFit="1" customWidth="1"/>
    <col min="6" max="6" width="16.83203125" bestFit="1" customWidth="1"/>
  </cols>
  <sheetData>
    <row r="2" spans="2:9" x14ac:dyDescent="0.2">
      <c r="B2">
        <v>18</v>
      </c>
      <c r="C2" t="s">
        <v>413</v>
      </c>
      <c r="D2">
        <v>200</v>
      </c>
      <c r="E2" t="s">
        <v>396</v>
      </c>
      <c r="F2" t="s">
        <v>386</v>
      </c>
      <c r="G2" t="s">
        <v>393</v>
      </c>
      <c r="H2" t="s">
        <v>396</v>
      </c>
      <c r="I2" t="s">
        <v>399</v>
      </c>
    </row>
    <row r="3" spans="2:9" x14ac:dyDescent="0.2">
      <c r="B3">
        <v>22</v>
      </c>
      <c r="C3" t="s">
        <v>417</v>
      </c>
      <c r="D3">
        <v>198.75</v>
      </c>
      <c r="E3">
        <v>56</v>
      </c>
      <c r="F3" t="s">
        <v>386</v>
      </c>
      <c r="G3" t="s">
        <v>395</v>
      </c>
      <c r="H3" t="s">
        <v>396</v>
      </c>
      <c r="I3" t="s">
        <v>399</v>
      </c>
    </row>
    <row r="4" spans="2:9" x14ac:dyDescent="0.2">
      <c r="B4">
        <v>3</v>
      </c>
      <c r="C4" t="s">
        <v>391</v>
      </c>
      <c r="D4">
        <v>280</v>
      </c>
      <c r="E4">
        <v>1</v>
      </c>
      <c r="F4" t="s">
        <v>392</v>
      </c>
      <c r="G4" t="s">
        <v>393</v>
      </c>
      <c r="H4">
        <v>1971</v>
      </c>
      <c r="I4" t="s">
        <v>387</v>
      </c>
    </row>
    <row r="5" spans="2:9" x14ac:dyDescent="0.2">
      <c r="B5">
        <v>26</v>
      </c>
      <c r="C5" t="s">
        <v>421</v>
      </c>
      <c r="D5">
        <v>190</v>
      </c>
      <c r="E5">
        <v>10</v>
      </c>
      <c r="F5" t="s">
        <v>422</v>
      </c>
      <c r="G5" t="s">
        <v>393</v>
      </c>
      <c r="H5" t="s">
        <v>396</v>
      </c>
      <c r="I5" t="s">
        <v>399</v>
      </c>
    </row>
    <row r="6" spans="2:9" x14ac:dyDescent="0.2">
      <c r="B6">
        <v>1</v>
      </c>
      <c r="C6" t="s">
        <v>384</v>
      </c>
      <c r="D6">
        <v>308.5</v>
      </c>
      <c r="E6">
        <v>87</v>
      </c>
      <c r="F6" t="s">
        <v>385</v>
      </c>
      <c r="G6" t="s">
        <v>386</v>
      </c>
      <c r="H6">
        <v>2013</v>
      </c>
      <c r="I6" t="s">
        <v>387</v>
      </c>
    </row>
    <row r="7" spans="2:9" x14ac:dyDescent="0.2">
      <c r="B7">
        <v>2</v>
      </c>
      <c r="C7" t="s">
        <v>388</v>
      </c>
      <c r="D7">
        <v>287.89999999999998</v>
      </c>
      <c r="E7">
        <v>60</v>
      </c>
      <c r="F7" t="s">
        <v>385</v>
      </c>
      <c r="G7" t="s">
        <v>389</v>
      </c>
      <c r="H7">
        <v>2013</v>
      </c>
      <c r="I7" t="s">
        <v>390</v>
      </c>
    </row>
    <row r="8" spans="2:9" x14ac:dyDescent="0.2">
      <c r="B8">
        <v>7</v>
      </c>
      <c r="C8" t="s">
        <v>401</v>
      </c>
      <c r="D8">
        <v>235.1</v>
      </c>
      <c r="E8">
        <v>50</v>
      </c>
      <c r="F8" t="s">
        <v>385</v>
      </c>
      <c r="G8" t="s">
        <v>389</v>
      </c>
      <c r="H8">
        <v>1991</v>
      </c>
      <c r="I8" t="s">
        <v>387</v>
      </c>
    </row>
    <row r="9" spans="2:9" x14ac:dyDescent="0.2">
      <c r="B9">
        <v>10</v>
      </c>
      <c r="C9" t="s">
        <v>404</v>
      </c>
      <c r="D9">
        <v>224.5</v>
      </c>
      <c r="E9">
        <v>48</v>
      </c>
      <c r="F9" t="s">
        <v>385</v>
      </c>
      <c r="G9" t="s">
        <v>389</v>
      </c>
      <c r="H9">
        <v>2014</v>
      </c>
      <c r="I9" t="s">
        <v>387</v>
      </c>
    </row>
    <row r="10" spans="2:9" x14ac:dyDescent="0.2">
      <c r="B10">
        <v>11</v>
      </c>
      <c r="C10" t="s">
        <v>405</v>
      </c>
      <c r="D10">
        <v>216</v>
      </c>
      <c r="E10">
        <v>44</v>
      </c>
      <c r="F10" t="s">
        <v>385</v>
      </c>
      <c r="G10" t="s">
        <v>393</v>
      </c>
      <c r="H10" t="s">
        <v>396</v>
      </c>
      <c r="I10" t="s">
        <v>399</v>
      </c>
    </row>
    <row r="11" spans="2:9" x14ac:dyDescent="0.2">
      <c r="B11">
        <v>15</v>
      </c>
      <c r="C11" t="s">
        <v>409</v>
      </c>
      <c r="D11">
        <v>203</v>
      </c>
      <c r="E11">
        <v>38</v>
      </c>
      <c r="F11" t="s">
        <v>385</v>
      </c>
      <c r="G11" t="s">
        <v>393</v>
      </c>
      <c r="H11" t="s">
        <v>396</v>
      </c>
      <c r="I11" t="s">
        <v>399</v>
      </c>
    </row>
    <row r="12" spans="2:9" x14ac:dyDescent="0.2">
      <c r="B12">
        <v>16</v>
      </c>
      <c r="C12" t="s">
        <v>410</v>
      </c>
      <c r="D12">
        <v>202.52</v>
      </c>
      <c r="E12">
        <v>46</v>
      </c>
      <c r="F12" t="s">
        <v>385</v>
      </c>
      <c r="G12" t="s">
        <v>389</v>
      </c>
      <c r="H12">
        <v>2011</v>
      </c>
      <c r="I12" t="s">
        <v>387</v>
      </c>
    </row>
    <row r="13" spans="2:9" x14ac:dyDescent="0.2">
      <c r="B13">
        <v>19</v>
      </c>
      <c r="C13" t="s">
        <v>414</v>
      </c>
      <c r="D13">
        <v>199.5</v>
      </c>
      <c r="E13">
        <v>45</v>
      </c>
      <c r="F13" t="s">
        <v>385</v>
      </c>
      <c r="G13" t="s">
        <v>393</v>
      </c>
      <c r="H13">
        <v>2002</v>
      </c>
      <c r="I13" t="s">
        <v>387</v>
      </c>
    </row>
    <row r="14" spans="2:9" x14ac:dyDescent="0.2">
      <c r="B14">
        <v>20</v>
      </c>
      <c r="C14" t="s">
        <v>415</v>
      </c>
      <c r="D14">
        <v>199.5</v>
      </c>
      <c r="E14">
        <v>45</v>
      </c>
      <c r="F14" t="s">
        <v>385</v>
      </c>
      <c r="G14" t="s">
        <v>393</v>
      </c>
      <c r="H14">
        <v>2002</v>
      </c>
      <c r="I14" t="s">
        <v>387</v>
      </c>
    </row>
    <row r="15" spans="2:9" x14ac:dyDescent="0.2">
      <c r="B15">
        <v>24</v>
      </c>
      <c r="C15" t="s">
        <v>419</v>
      </c>
      <c r="D15">
        <v>197.9</v>
      </c>
      <c r="E15">
        <v>34</v>
      </c>
      <c r="F15" t="s">
        <v>385</v>
      </c>
      <c r="G15" t="s">
        <v>389</v>
      </c>
      <c r="H15" t="s">
        <v>396</v>
      </c>
      <c r="I15" t="s">
        <v>412</v>
      </c>
    </row>
    <row r="16" spans="2:9" x14ac:dyDescent="0.2">
      <c r="B16">
        <v>25</v>
      </c>
      <c r="C16" t="s">
        <v>420</v>
      </c>
      <c r="D16">
        <v>192.1</v>
      </c>
      <c r="E16">
        <v>39</v>
      </c>
      <c r="F16" t="s">
        <v>385</v>
      </c>
      <c r="G16" t="s">
        <v>393</v>
      </c>
      <c r="H16" t="s">
        <v>396</v>
      </c>
      <c r="I16" t="s">
        <v>412</v>
      </c>
    </row>
    <row r="17" spans="2:9" x14ac:dyDescent="0.2">
      <c r="B17">
        <v>27</v>
      </c>
      <c r="C17" t="s">
        <v>423</v>
      </c>
      <c r="D17">
        <v>187.15</v>
      </c>
      <c r="E17" t="s">
        <v>396</v>
      </c>
      <c r="F17" t="s">
        <v>385</v>
      </c>
      <c r="G17" t="s">
        <v>393</v>
      </c>
      <c r="H17" t="s">
        <v>396</v>
      </c>
      <c r="I17" t="s">
        <v>399</v>
      </c>
    </row>
    <row r="18" spans="2:9" x14ac:dyDescent="0.2">
      <c r="B18">
        <v>29</v>
      </c>
      <c r="C18" t="s">
        <v>425</v>
      </c>
      <c r="D18">
        <v>183</v>
      </c>
      <c r="E18">
        <v>47</v>
      </c>
      <c r="F18" t="s">
        <v>385</v>
      </c>
      <c r="G18" t="s">
        <v>389</v>
      </c>
      <c r="H18">
        <v>1980</v>
      </c>
      <c r="I18" t="s">
        <v>387</v>
      </c>
    </row>
    <row r="19" spans="2:9" x14ac:dyDescent="0.2">
      <c r="B19">
        <v>4</v>
      </c>
      <c r="C19" t="s">
        <v>394</v>
      </c>
      <c r="D19">
        <v>253.85</v>
      </c>
      <c r="E19">
        <v>64</v>
      </c>
      <c r="F19" t="s">
        <v>395</v>
      </c>
      <c r="G19" t="s">
        <v>386</v>
      </c>
      <c r="H19" t="s">
        <v>396</v>
      </c>
      <c r="I19" t="s">
        <v>397</v>
      </c>
    </row>
    <row r="20" spans="2:9" x14ac:dyDescent="0.2">
      <c r="B20">
        <v>5</v>
      </c>
      <c r="C20" t="s">
        <v>398</v>
      </c>
      <c r="D20">
        <v>249</v>
      </c>
      <c r="E20">
        <v>75</v>
      </c>
      <c r="F20" t="s">
        <v>395</v>
      </c>
      <c r="G20" t="s">
        <v>393</v>
      </c>
      <c r="H20" t="s">
        <v>396</v>
      </c>
      <c r="I20" t="s">
        <v>399</v>
      </c>
    </row>
    <row r="21" spans="2:9" x14ac:dyDescent="0.2">
      <c r="B21">
        <v>6</v>
      </c>
      <c r="C21" t="s">
        <v>400</v>
      </c>
      <c r="D21">
        <v>242</v>
      </c>
      <c r="E21">
        <v>74</v>
      </c>
      <c r="F21" t="s">
        <v>395</v>
      </c>
      <c r="G21" t="s">
        <v>389</v>
      </c>
      <c r="H21" t="s">
        <v>396</v>
      </c>
      <c r="I21" t="s">
        <v>399</v>
      </c>
    </row>
    <row r="22" spans="2:9" x14ac:dyDescent="0.2">
      <c r="B22">
        <v>8</v>
      </c>
      <c r="C22" t="s">
        <v>402</v>
      </c>
      <c r="D22">
        <v>233</v>
      </c>
      <c r="E22">
        <v>75</v>
      </c>
      <c r="F22" t="s">
        <v>395</v>
      </c>
      <c r="G22" t="s">
        <v>389</v>
      </c>
      <c r="H22" t="s">
        <v>396</v>
      </c>
      <c r="I22" t="s">
        <v>399</v>
      </c>
    </row>
    <row r="23" spans="2:9" x14ac:dyDescent="0.2">
      <c r="B23">
        <v>9</v>
      </c>
      <c r="C23" t="s">
        <v>403</v>
      </c>
      <c r="D23">
        <v>230</v>
      </c>
      <c r="E23">
        <v>68</v>
      </c>
      <c r="F23" t="s">
        <v>395</v>
      </c>
      <c r="G23" t="s">
        <v>393</v>
      </c>
      <c r="H23" t="s">
        <v>396</v>
      </c>
      <c r="I23" t="s">
        <v>399</v>
      </c>
    </row>
    <row r="24" spans="2:9" x14ac:dyDescent="0.2">
      <c r="B24">
        <v>12</v>
      </c>
      <c r="C24" t="s">
        <v>406</v>
      </c>
      <c r="D24">
        <v>212.29</v>
      </c>
      <c r="E24">
        <v>58</v>
      </c>
      <c r="F24" t="s">
        <v>395</v>
      </c>
      <c r="G24" t="s">
        <v>389</v>
      </c>
      <c r="H24" t="s">
        <v>396</v>
      </c>
      <c r="I24" t="s">
        <v>399</v>
      </c>
    </row>
    <row r="25" spans="2:9" x14ac:dyDescent="0.2">
      <c r="B25">
        <v>13</v>
      </c>
      <c r="C25" t="s">
        <v>407</v>
      </c>
      <c r="D25">
        <v>210.5</v>
      </c>
      <c r="E25">
        <v>53</v>
      </c>
      <c r="F25" t="s">
        <v>395</v>
      </c>
      <c r="G25" t="s">
        <v>389</v>
      </c>
      <c r="H25" t="s">
        <v>396</v>
      </c>
      <c r="I25" t="s">
        <v>397</v>
      </c>
    </row>
    <row r="26" spans="2:9" x14ac:dyDescent="0.2">
      <c r="B26">
        <v>14</v>
      </c>
      <c r="C26" t="s">
        <v>408</v>
      </c>
      <c r="D26">
        <v>203.95</v>
      </c>
      <c r="E26">
        <v>56</v>
      </c>
      <c r="F26" t="s">
        <v>395</v>
      </c>
      <c r="G26" t="s">
        <v>393</v>
      </c>
      <c r="H26" t="s">
        <v>396</v>
      </c>
      <c r="I26" t="s">
        <v>399</v>
      </c>
    </row>
    <row r="27" spans="2:9" x14ac:dyDescent="0.2">
      <c r="B27">
        <v>17</v>
      </c>
      <c r="C27" t="s">
        <v>411</v>
      </c>
      <c r="D27">
        <v>200</v>
      </c>
      <c r="E27">
        <v>58</v>
      </c>
      <c r="F27" t="s">
        <v>395</v>
      </c>
      <c r="G27" t="s">
        <v>385</v>
      </c>
      <c r="H27" t="s">
        <v>396</v>
      </c>
      <c r="I27" t="s">
        <v>412</v>
      </c>
    </row>
    <row r="28" spans="2:9" x14ac:dyDescent="0.2">
      <c r="B28">
        <v>21</v>
      </c>
      <c r="C28" t="s">
        <v>416</v>
      </c>
      <c r="D28">
        <v>199</v>
      </c>
      <c r="E28">
        <v>67</v>
      </c>
      <c r="F28" t="s">
        <v>395</v>
      </c>
      <c r="G28" t="s">
        <v>385</v>
      </c>
      <c r="H28" t="s">
        <v>396</v>
      </c>
      <c r="I28" t="s">
        <v>399</v>
      </c>
    </row>
    <row r="29" spans="2:9" x14ac:dyDescent="0.2">
      <c r="B29">
        <v>23</v>
      </c>
      <c r="C29" t="s">
        <v>418</v>
      </c>
      <c r="D29">
        <v>198.6</v>
      </c>
      <c r="E29">
        <v>51</v>
      </c>
      <c r="F29" t="s">
        <v>395</v>
      </c>
      <c r="G29" t="s">
        <v>385</v>
      </c>
      <c r="H29" t="s">
        <v>396</v>
      </c>
      <c r="I29" t="s">
        <v>412</v>
      </c>
    </row>
    <row r="30" spans="2:9" x14ac:dyDescent="0.2">
      <c r="B30">
        <v>28</v>
      </c>
      <c r="C30" t="s">
        <v>424</v>
      </c>
      <c r="D30">
        <v>184</v>
      </c>
      <c r="E30">
        <v>53</v>
      </c>
      <c r="F30" t="s">
        <v>395</v>
      </c>
      <c r="G30" t="s">
        <v>389</v>
      </c>
      <c r="H30" t="s">
        <v>396</v>
      </c>
      <c r="I30" t="s">
        <v>399</v>
      </c>
    </row>
    <row r="31" spans="2:9" x14ac:dyDescent="0.2">
      <c r="B31">
        <v>30</v>
      </c>
      <c r="C31" t="s">
        <v>426</v>
      </c>
      <c r="D31">
        <v>182.04</v>
      </c>
      <c r="E31">
        <v>55</v>
      </c>
      <c r="F31" t="s">
        <v>395</v>
      </c>
      <c r="G31" t="s">
        <v>389</v>
      </c>
      <c r="H31" t="s">
        <v>396</v>
      </c>
      <c r="I31" t="s">
        <v>399</v>
      </c>
    </row>
    <row r="32" spans="2:9" x14ac:dyDescent="0.2">
      <c r="B32" t="s">
        <v>427</v>
      </c>
    </row>
    <row r="33" spans="2:2" x14ac:dyDescent="0.2">
      <c r="B33" t="s">
        <v>428</v>
      </c>
    </row>
  </sheetData>
  <sortState ref="B2:I31">
    <sortCondition ref="F2:F31"/>
    <sortCondition descending="1" ref="D2:D31"/>
  </sortState>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C83"/>
  <sheetViews>
    <sheetView workbookViewId="0">
      <selection activeCell="B75" sqref="B75"/>
    </sheetView>
  </sheetViews>
  <sheetFormatPr baseColWidth="10" defaultRowHeight="19" x14ac:dyDescent="0.2"/>
  <cols>
    <col min="1" max="1" width="4.6640625" style="239" customWidth="1"/>
    <col min="2" max="2" width="101.1640625" style="238" bestFit="1" customWidth="1"/>
    <col min="3" max="3" width="10.83203125" style="43"/>
  </cols>
  <sheetData>
    <row r="1" spans="1:3" x14ac:dyDescent="0.2">
      <c r="A1" s="240" t="s">
        <v>1239</v>
      </c>
    </row>
    <row r="2" spans="1:3" x14ac:dyDescent="0.2">
      <c r="C2" s="43" t="s">
        <v>1216</v>
      </c>
    </row>
    <row r="3" spans="1:3" x14ac:dyDescent="0.2">
      <c r="A3" s="239">
        <v>1</v>
      </c>
      <c r="B3" s="239" t="s">
        <v>1207</v>
      </c>
    </row>
    <row r="4" spans="1:3" x14ac:dyDescent="0.2">
      <c r="A4" s="239">
        <f>A3+1</f>
        <v>2</v>
      </c>
      <c r="B4" s="239" t="s">
        <v>1208</v>
      </c>
      <c r="C4" s="43">
        <v>31</v>
      </c>
    </row>
    <row r="5" spans="1:3" x14ac:dyDescent="0.2">
      <c r="A5" s="239">
        <f t="shared" ref="A5:A70" si="0">A4+1</f>
        <v>3</v>
      </c>
      <c r="B5" s="239" t="s">
        <v>1209</v>
      </c>
    </row>
    <row r="6" spans="1:3" x14ac:dyDescent="0.2">
      <c r="A6" s="239">
        <f t="shared" si="0"/>
        <v>4</v>
      </c>
      <c r="B6" s="239" t="s">
        <v>1210</v>
      </c>
    </row>
    <row r="7" spans="1:3" x14ac:dyDescent="0.2">
      <c r="A7" s="239">
        <f t="shared" si="0"/>
        <v>5</v>
      </c>
      <c r="B7" s="239" t="s">
        <v>1287</v>
      </c>
      <c r="C7" s="43">
        <v>4</v>
      </c>
    </row>
    <row r="8" spans="1:3" x14ac:dyDescent="0.2">
      <c r="A8" s="239">
        <f t="shared" si="0"/>
        <v>6</v>
      </c>
      <c r="B8" s="239" t="s">
        <v>1211</v>
      </c>
    </row>
    <row r="9" spans="1:3" x14ac:dyDescent="0.2">
      <c r="A9" s="239">
        <f t="shared" si="0"/>
        <v>7</v>
      </c>
      <c r="B9" s="239" t="s">
        <v>1212</v>
      </c>
    </row>
    <row r="10" spans="1:3" x14ac:dyDescent="0.2">
      <c r="A10" s="239">
        <f t="shared" si="0"/>
        <v>8</v>
      </c>
      <c r="B10" s="239" t="s">
        <v>1213</v>
      </c>
    </row>
    <row r="11" spans="1:3" x14ac:dyDescent="0.2">
      <c r="A11" s="239">
        <f t="shared" si="0"/>
        <v>9</v>
      </c>
      <c r="B11" s="239" t="s">
        <v>1214</v>
      </c>
    </row>
    <row r="12" spans="1:3" x14ac:dyDescent="0.2">
      <c r="A12" s="239">
        <f t="shared" si="0"/>
        <v>10</v>
      </c>
      <c r="B12" s="239" t="s">
        <v>1284</v>
      </c>
    </row>
    <row r="13" spans="1:3" x14ac:dyDescent="0.2">
      <c r="A13" s="239">
        <f t="shared" si="0"/>
        <v>11</v>
      </c>
      <c r="B13" s="239" t="s">
        <v>1285</v>
      </c>
    </row>
    <row r="14" spans="1:3" x14ac:dyDescent="0.2">
      <c r="A14" s="239">
        <f t="shared" si="0"/>
        <v>12</v>
      </c>
      <c r="B14" s="239" t="s">
        <v>1286</v>
      </c>
      <c r="C14" s="43">
        <v>33</v>
      </c>
    </row>
    <row r="15" spans="1:3" x14ac:dyDescent="0.2">
      <c r="A15" s="239">
        <f t="shared" si="0"/>
        <v>13</v>
      </c>
      <c r="B15" s="239" t="s">
        <v>1217</v>
      </c>
    </row>
    <row r="16" spans="1:3" x14ac:dyDescent="0.2">
      <c r="A16" s="239">
        <f t="shared" si="0"/>
        <v>14</v>
      </c>
      <c r="B16" s="239" t="s">
        <v>1288</v>
      </c>
    </row>
    <row r="17" spans="1:3" x14ac:dyDescent="0.2">
      <c r="A17" s="239">
        <f t="shared" si="0"/>
        <v>15</v>
      </c>
      <c r="B17" s="239" t="s">
        <v>1173</v>
      </c>
    </row>
    <row r="18" spans="1:3" x14ac:dyDescent="0.2">
      <c r="A18" s="239">
        <f t="shared" si="0"/>
        <v>16</v>
      </c>
      <c r="B18" s="239" t="s">
        <v>1215</v>
      </c>
      <c r="C18" s="43" t="s">
        <v>1224</v>
      </c>
    </row>
    <row r="19" spans="1:3" x14ac:dyDescent="0.2">
      <c r="A19" s="239">
        <f t="shared" si="0"/>
        <v>17</v>
      </c>
      <c r="B19" s="239" t="s">
        <v>1174</v>
      </c>
      <c r="C19" s="43">
        <v>7</v>
      </c>
    </row>
    <row r="20" spans="1:3" x14ac:dyDescent="0.2">
      <c r="A20" s="239">
        <f t="shared" si="0"/>
        <v>18</v>
      </c>
      <c r="B20" s="239" t="s">
        <v>1175</v>
      </c>
    </row>
    <row r="21" spans="1:3" x14ac:dyDescent="0.2">
      <c r="A21" s="239">
        <f t="shared" si="0"/>
        <v>19</v>
      </c>
      <c r="B21" s="239" t="s">
        <v>1176</v>
      </c>
    </row>
    <row r="22" spans="1:3" x14ac:dyDescent="0.2">
      <c r="A22" s="239">
        <f t="shared" si="0"/>
        <v>20</v>
      </c>
      <c r="B22" s="239" t="s">
        <v>51</v>
      </c>
    </row>
    <row r="23" spans="1:3" x14ac:dyDescent="0.2">
      <c r="A23" s="239">
        <f t="shared" si="0"/>
        <v>21</v>
      </c>
      <c r="B23" s="239" t="s">
        <v>1177</v>
      </c>
    </row>
    <row r="24" spans="1:3" x14ac:dyDescent="0.2">
      <c r="A24" s="239">
        <f t="shared" si="0"/>
        <v>22</v>
      </c>
      <c r="B24" s="239" t="s">
        <v>1289</v>
      </c>
    </row>
    <row r="25" spans="1:3" x14ac:dyDescent="0.2">
      <c r="A25" s="239">
        <f t="shared" si="0"/>
        <v>23</v>
      </c>
      <c r="B25" s="239" t="s">
        <v>1178</v>
      </c>
      <c r="C25" s="43">
        <v>15</v>
      </c>
    </row>
    <row r="26" spans="1:3" x14ac:dyDescent="0.2">
      <c r="A26" s="239">
        <f t="shared" si="0"/>
        <v>24</v>
      </c>
      <c r="B26" s="239" t="s">
        <v>1179</v>
      </c>
      <c r="C26" s="43" t="s">
        <v>1218</v>
      </c>
    </row>
    <row r="27" spans="1:3" x14ac:dyDescent="0.2">
      <c r="A27" s="239">
        <f t="shared" si="0"/>
        <v>25</v>
      </c>
      <c r="B27" s="239" t="s">
        <v>1282</v>
      </c>
    </row>
    <row r="28" spans="1:3" x14ac:dyDescent="0.2">
      <c r="A28" s="239">
        <f t="shared" si="0"/>
        <v>26</v>
      </c>
      <c r="B28" s="239" t="s">
        <v>1281</v>
      </c>
    </row>
    <row r="29" spans="1:3" x14ac:dyDescent="0.2">
      <c r="A29" s="239">
        <f t="shared" si="0"/>
        <v>27</v>
      </c>
      <c r="B29" s="239" t="s">
        <v>1180</v>
      </c>
    </row>
    <row r="30" spans="1:3" x14ac:dyDescent="0.2">
      <c r="A30" s="239">
        <f t="shared" si="0"/>
        <v>28</v>
      </c>
      <c r="B30" s="239" t="s">
        <v>1219</v>
      </c>
    </row>
    <row r="31" spans="1:3" x14ac:dyDescent="0.2">
      <c r="A31" s="239">
        <f t="shared" si="0"/>
        <v>29</v>
      </c>
      <c r="B31" s="239" t="s">
        <v>1181</v>
      </c>
      <c r="C31" s="43">
        <v>26</v>
      </c>
    </row>
    <row r="32" spans="1:3" x14ac:dyDescent="0.2">
      <c r="A32" s="239">
        <f t="shared" si="0"/>
        <v>30</v>
      </c>
      <c r="B32" s="239" t="s">
        <v>1290</v>
      </c>
      <c r="C32" s="43">
        <v>8</v>
      </c>
    </row>
    <row r="33" spans="1:3" x14ac:dyDescent="0.2">
      <c r="A33" s="239">
        <f t="shared" si="0"/>
        <v>31</v>
      </c>
      <c r="B33" s="239" t="s">
        <v>1182</v>
      </c>
    </row>
    <row r="34" spans="1:3" x14ac:dyDescent="0.2">
      <c r="A34" s="239">
        <f t="shared" si="0"/>
        <v>32</v>
      </c>
      <c r="B34" s="239" t="s">
        <v>1183</v>
      </c>
    </row>
    <row r="35" spans="1:3" x14ac:dyDescent="0.2">
      <c r="A35" s="239">
        <f t="shared" si="0"/>
        <v>33</v>
      </c>
      <c r="B35" s="239" t="s">
        <v>1184</v>
      </c>
    </row>
    <row r="36" spans="1:3" x14ac:dyDescent="0.2">
      <c r="A36" s="239">
        <f t="shared" si="0"/>
        <v>34</v>
      </c>
      <c r="B36" s="239" t="s">
        <v>1185</v>
      </c>
      <c r="C36" s="43" t="s">
        <v>1222</v>
      </c>
    </row>
    <row r="37" spans="1:3" x14ac:dyDescent="0.2">
      <c r="A37" s="239">
        <f t="shared" si="0"/>
        <v>35</v>
      </c>
      <c r="B37" s="239" t="s">
        <v>1186</v>
      </c>
    </row>
    <row r="38" spans="1:3" x14ac:dyDescent="0.2">
      <c r="A38" s="239">
        <f t="shared" si="0"/>
        <v>36</v>
      </c>
      <c r="B38" s="239" t="s">
        <v>1291</v>
      </c>
    </row>
    <row r="39" spans="1:3" x14ac:dyDescent="0.2">
      <c r="A39" s="239">
        <f t="shared" si="0"/>
        <v>37</v>
      </c>
      <c r="B39" s="239" t="s">
        <v>1187</v>
      </c>
    </row>
    <row r="40" spans="1:3" x14ac:dyDescent="0.2">
      <c r="A40" s="239">
        <f t="shared" si="0"/>
        <v>38</v>
      </c>
      <c r="B40" s="239" t="s">
        <v>1220</v>
      </c>
    </row>
    <row r="41" spans="1:3" x14ac:dyDescent="0.2">
      <c r="A41" s="239">
        <f t="shared" si="0"/>
        <v>39</v>
      </c>
      <c r="B41" s="248" t="s">
        <v>1283</v>
      </c>
    </row>
    <row r="42" spans="1:3" x14ac:dyDescent="0.2">
      <c r="A42" s="239">
        <f t="shared" si="0"/>
        <v>40</v>
      </c>
      <c r="B42" s="248" t="s">
        <v>1188</v>
      </c>
    </row>
    <row r="43" spans="1:3" x14ac:dyDescent="0.2">
      <c r="A43" s="239">
        <f t="shared" si="0"/>
        <v>41</v>
      </c>
      <c r="B43" s="248" t="s">
        <v>1221</v>
      </c>
    </row>
    <row r="44" spans="1:3" x14ac:dyDescent="0.2">
      <c r="A44" s="239">
        <f t="shared" si="0"/>
        <v>42</v>
      </c>
      <c r="B44" s="248" t="s">
        <v>1189</v>
      </c>
    </row>
    <row r="45" spans="1:3" x14ac:dyDescent="0.2">
      <c r="A45" s="239">
        <f t="shared" si="0"/>
        <v>43</v>
      </c>
      <c r="B45" s="248" t="s">
        <v>1292</v>
      </c>
      <c r="C45" s="43">
        <v>19</v>
      </c>
    </row>
    <row r="46" spans="1:3" x14ac:dyDescent="0.2">
      <c r="A46" s="239">
        <f t="shared" si="0"/>
        <v>44</v>
      </c>
      <c r="B46" s="248" t="s">
        <v>1190</v>
      </c>
    </row>
    <row r="47" spans="1:3" x14ac:dyDescent="0.2">
      <c r="A47" s="239">
        <f t="shared" si="0"/>
        <v>45</v>
      </c>
      <c r="B47" s="248" t="s">
        <v>395</v>
      </c>
    </row>
    <row r="48" spans="1:3" x14ac:dyDescent="0.2">
      <c r="A48" s="239">
        <f t="shared" si="0"/>
        <v>46</v>
      </c>
      <c r="B48" s="248" t="s">
        <v>1191</v>
      </c>
      <c r="C48" s="43" t="s">
        <v>1223</v>
      </c>
    </row>
    <row r="49" spans="1:2" x14ac:dyDescent="0.2">
      <c r="A49" s="239">
        <f t="shared" si="0"/>
        <v>47</v>
      </c>
      <c r="B49" s="248" t="s">
        <v>1293</v>
      </c>
    </row>
    <row r="50" spans="1:2" x14ac:dyDescent="0.2">
      <c r="A50" s="239">
        <f t="shared" si="0"/>
        <v>48</v>
      </c>
      <c r="B50" s="248" t="s">
        <v>1225</v>
      </c>
    </row>
    <row r="51" spans="1:2" x14ac:dyDescent="0.2">
      <c r="A51" s="239">
        <f t="shared" si="0"/>
        <v>49</v>
      </c>
      <c r="B51" s="248" t="s">
        <v>1226</v>
      </c>
    </row>
    <row r="52" spans="1:2" x14ac:dyDescent="0.2">
      <c r="A52" s="239">
        <f t="shared" si="0"/>
        <v>50</v>
      </c>
      <c r="B52" s="248" t="s">
        <v>1227</v>
      </c>
    </row>
    <row r="53" spans="1:2" x14ac:dyDescent="0.2">
      <c r="A53" s="239">
        <f t="shared" si="0"/>
        <v>51</v>
      </c>
      <c r="B53" s="248" t="s">
        <v>1294</v>
      </c>
    </row>
    <row r="54" spans="1:2" x14ac:dyDescent="0.2">
      <c r="A54" s="239">
        <f t="shared" si="0"/>
        <v>52</v>
      </c>
      <c r="B54" s="248" t="s">
        <v>1192</v>
      </c>
    </row>
    <row r="55" spans="1:2" x14ac:dyDescent="0.2">
      <c r="A55" s="239">
        <f t="shared" si="0"/>
        <v>53</v>
      </c>
      <c r="B55" s="248" t="s">
        <v>1228</v>
      </c>
    </row>
    <row r="56" spans="1:2" x14ac:dyDescent="0.2">
      <c r="A56" s="239">
        <f t="shared" si="0"/>
        <v>54</v>
      </c>
      <c r="B56" s="248" t="s">
        <v>1229</v>
      </c>
    </row>
    <row r="57" spans="1:2" x14ac:dyDescent="0.2">
      <c r="A57" s="239">
        <f t="shared" si="0"/>
        <v>55</v>
      </c>
      <c r="B57" s="248" t="s">
        <v>1230</v>
      </c>
    </row>
    <row r="58" spans="1:2" x14ac:dyDescent="0.2">
      <c r="A58" s="239">
        <f t="shared" si="0"/>
        <v>56</v>
      </c>
      <c r="B58" s="248" t="s">
        <v>1193</v>
      </c>
    </row>
    <row r="59" spans="1:2" x14ac:dyDescent="0.2">
      <c r="A59" s="239">
        <f t="shared" si="0"/>
        <v>57</v>
      </c>
      <c r="B59" s="248" t="s">
        <v>1194</v>
      </c>
    </row>
    <row r="60" spans="1:2" x14ac:dyDescent="0.2">
      <c r="A60" s="239">
        <f t="shared" si="0"/>
        <v>58</v>
      </c>
      <c r="B60" s="248" t="s">
        <v>1231</v>
      </c>
    </row>
    <row r="61" spans="1:2" x14ac:dyDescent="0.2">
      <c r="A61" s="239">
        <f t="shared" si="0"/>
        <v>59</v>
      </c>
      <c r="B61" s="248" t="s">
        <v>1232</v>
      </c>
    </row>
    <row r="62" spans="1:2" x14ac:dyDescent="0.2">
      <c r="A62" s="239">
        <f t="shared" si="0"/>
        <v>60</v>
      </c>
      <c r="B62" s="248" t="s">
        <v>1295</v>
      </c>
    </row>
    <row r="63" spans="1:2" x14ac:dyDescent="0.2">
      <c r="A63" s="239">
        <f t="shared" si="0"/>
        <v>61</v>
      </c>
      <c r="B63" s="248" t="s">
        <v>1195</v>
      </c>
    </row>
    <row r="64" spans="1:2" x14ac:dyDescent="0.2">
      <c r="A64" s="239">
        <f t="shared" si="0"/>
        <v>62</v>
      </c>
      <c r="B64" s="248" t="s">
        <v>1196</v>
      </c>
    </row>
    <row r="65" spans="1:3" x14ac:dyDescent="0.2">
      <c r="A65" s="239">
        <f t="shared" si="0"/>
        <v>63</v>
      </c>
      <c r="B65" s="248" t="s">
        <v>1197</v>
      </c>
      <c r="C65" s="43">
        <v>23</v>
      </c>
    </row>
    <row r="66" spans="1:3" x14ac:dyDescent="0.2">
      <c r="A66" s="239">
        <f t="shared" si="0"/>
        <v>64</v>
      </c>
      <c r="B66" s="239" t="s">
        <v>1198</v>
      </c>
    </row>
    <row r="67" spans="1:3" x14ac:dyDescent="0.2">
      <c r="A67" s="239">
        <f t="shared" si="0"/>
        <v>65</v>
      </c>
      <c r="B67" s="239" t="s">
        <v>1199</v>
      </c>
    </row>
    <row r="68" spans="1:3" x14ac:dyDescent="0.2">
      <c r="A68" s="239">
        <f t="shared" si="0"/>
        <v>66</v>
      </c>
      <c r="B68" s="239" t="s">
        <v>1200</v>
      </c>
    </row>
    <row r="69" spans="1:3" x14ac:dyDescent="0.2">
      <c r="A69" s="239">
        <f t="shared" si="0"/>
        <v>67</v>
      </c>
      <c r="B69" s="239" t="s">
        <v>1201</v>
      </c>
    </row>
    <row r="70" spans="1:3" x14ac:dyDescent="0.2">
      <c r="A70" s="239">
        <f t="shared" si="0"/>
        <v>68</v>
      </c>
      <c r="B70" s="239" t="s">
        <v>1235</v>
      </c>
    </row>
    <row r="71" spans="1:3" x14ac:dyDescent="0.2">
      <c r="A71" s="239">
        <f t="shared" ref="A71:A82" si="1">A70+1</f>
        <v>69</v>
      </c>
      <c r="B71" s="239" t="s">
        <v>1236</v>
      </c>
    </row>
    <row r="72" spans="1:3" x14ac:dyDescent="0.2">
      <c r="A72" s="239">
        <f t="shared" si="1"/>
        <v>70</v>
      </c>
      <c r="B72" s="239" t="s">
        <v>1234</v>
      </c>
    </row>
    <row r="73" spans="1:3" x14ac:dyDescent="0.2">
      <c r="A73" s="239">
        <f t="shared" si="1"/>
        <v>71</v>
      </c>
      <c r="B73" s="239" t="s">
        <v>1296</v>
      </c>
    </row>
    <row r="74" spans="1:3" x14ac:dyDescent="0.2">
      <c r="A74" s="239">
        <f t="shared" si="1"/>
        <v>72</v>
      </c>
      <c r="B74" s="239" t="s">
        <v>1202</v>
      </c>
    </row>
    <row r="75" spans="1:3" x14ac:dyDescent="0.2">
      <c r="A75" s="239">
        <f t="shared" si="1"/>
        <v>73</v>
      </c>
      <c r="B75" s="239" t="s">
        <v>1237</v>
      </c>
    </row>
    <row r="76" spans="1:3" x14ac:dyDescent="0.2">
      <c r="A76" s="239">
        <f t="shared" si="1"/>
        <v>74</v>
      </c>
      <c r="B76" s="239" t="s">
        <v>1203</v>
      </c>
    </row>
    <row r="77" spans="1:3" x14ac:dyDescent="0.2">
      <c r="A77" s="239">
        <f t="shared" si="1"/>
        <v>75</v>
      </c>
      <c r="B77" s="239" t="s">
        <v>1238</v>
      </c>
    </row>
    <row r="78" spans="1:3" x14ac:dyDescent="0.2">
      <c r="A78" s="239">
        <f t="shared" si="1"/>
        <v>76</v>
      </c>
      <c r="B78" s="239" t="s">
        <v>1204</v>
      </c>
    </row>
    <row r="79" spans="1:3" x14ac:dyDescent="0.2">
      <c r="A79" s="239">
        <f t="shared" si="1"/>
        <v>77</v>
      </c>
      <c r="B79" s="239" t="s">
        <v>1205</v>
      </c>
    </row>
    <row r="80" spans="1:3" x14ac:dyDescent="0.2">
      <c r="A80" s="239">
        <f t="shared" si="1"/>
        <v>78</v>
      </c>
      <c r="B80" s="239" t="s">
        <v>1196</v>
      </c>
    </row>
    <row r="81" spans="1:2" x14ac:dyDescent="0.2">
      <c r="A81" s="239">
        <f t="shared" si="1"/>
        <v>79</v>
      </c>
      <c r="B81" s="239" t="s">
        <v>1233</v>
      </c>
    </row>
    <row r="82" spans="1:2" x14ac:dyDescent="0.2">
      <c r="A82" s="239">
        <f t="shared" si="1"/>
        <v>80</v>
      </c>
      <c r="B82" s="239" t="s">
        <v>1206</v>
      </c>
    </row>
    <row r="83" spans="1:2" x14ac:dyDescent="0.2">
      <c r="B83" s="239"/>
    </row>
  </sheetData>
  <phoneticPr fontId="10" type="noConversion"/>
  <pageMargins left="0.36000000000000004" right="0.36000000000000004" top="0.41000000000000009" bottom="0.41000000000000009" header="0.30000000000000004" footer="0.39000000000000007"/>
  <pageSetup paperSize="9" scale="85" fitToHeight="2"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30"/>
  <sheetViews>
    <sheetView showGridLines="0" workbookViewId="0">
      <selection activeCell="D5" sqref="D5:D6"/>
    </sheetView>
  </sheetViews>
  <sheetFormatPr baseColWidth="10" defaultRowHeight="16" x14ac:dyDescent="0.2"/>
  <cols>
    <col min="1" max="1" width="10.6640625" bestFit="1" customWidth="1"/>
    <col min="6" max="6" width="2.5" customWidth="1"/>
    <col min="7" max="7" width="7.5" customWidth="1"/>
    <col min="8" max="8" width="14.6640625" customWidth="1"/>
    <col min="10" max="13" width="12" customWidth="1"/>
    <col min="14" max="14" width="13.6640625" customWidth="1"/>
    <col min="15" max="15" width="12" customWidth="1"/>
  </cols>
  <sheetData>
    <row r="1" spans="1:15" ht="19" x14ac:dyDescent="0.25">
      <c r="A1" s="208" t="s">
        <v>1394</v>
      </c>
    </row>
    <row r="3" spans="1:15" ht="64" x14ac:dyDescent="0.2">
      <c r="B3" s="322" t="s">
        <v>1272</v>
      </c>
      <c r="C3" s="322" t="s">
        <v>1273</v>
      </c>
      <c r="D3" s="322" t="s">
        <v>1275</v>
      </c>
      <c r="E3" s="322" t="s">
        <v>1274</v>
      </c>
      <c r="G3" s="312" t="s">
        <v>1393</v>
      </c>
      <c r="H3" s="312" t="s">
        <v>1391</v>
      </c>
      <c r="I3" s="327" t="s">
        <v>1390</v>
      </c>
      <c r="J3" s="334" t="s">
        <v>1387</v>
      </c>
      <c r="K3" s="312" t="s">
        <v>1392</v>
      </c>
      <c r="L3" s="335" t="s">
        <v>1388</v>
      </c>
      <c r="M3" s="342" t="s">
        <v>1395</v>
      </c>
      <c r="N3" s="330" t="s">
        <v>1396</v>
      </c>
      <c r="O3" s="313" t="s">
        <v>1389</v>
      </c>
    </row>
    <row r="4" spans="1:15" ht="22" customHeight="1" x14ac:dyDescent="0.2">
      <c r="A4" t="s">
        <v>1202</v>
      </c>
      <c r="B4" s="317">
        <v>769</v>
      </c>
      <c r="C4" s="317">
        <v>3467</v>
      </c>
      <c r="D4" s="317">
        <f t="shared" ref="D4:D7" si="0">C4-B4</f>
        <v>2698</v>
      </c>
      <c r="E4" s="323">
        <f>C4/B4-1</f>
        <v>3.5084525357607284</v>
      </c>
      <c r="G4" s="314">
        <v>1</v>
      </c>
      <c r="H4" s="317">
        <f>C4*0.7</f>
        <v>2426.8999999999996</v>
      </c>
      <c r="I4" s="328">
        <v>70</v>
      </c>
      <c r="J4" s="336"/>
      <c r="K4" s="316"/>
      <c r="L4" s="337">
        <f>H4*I4*200</f>
        <v>33976599.999999993</v>
      </c>
      <c r="M4" s="343">
        <f>SUM(J4:L4)</f>
        <v>33976599.999999993</v>
      </c>
      <c r="N4" s="331">
        <f>L4</f>
        <v>33976599.999999993</v>
      </c>
      <c r="O4" s="316">
        <v>0</v>
      </c>
    </row>
    <row r="5" spans="1:15" ht="22" customHeight="1" x14ac:dyDescent="0.2">
      <c r="A5" t="s">
        <v>1269</v>
      </c>
      <c r="B5" s="317">
        <v>607</v>
      </c>
      <c r="C5" s="317">
        <v>2809</v>
      </c>
      <c r="D5" s="317">
        <f t="shared" si="0"/>
        <v>2202</v>
      </c>
      <c r="E5" s="323">
        <f t="shared" ref="E5:E8" si="1">C5/B5-1</f>
        <v>3.6276771004942336</v>
      </c>
      <c r="G5" s="314">
        <v>3</v>
      </c>
      <c r="H5" s="317">
        <f>C5*0.7</f>
        <v>1966.3</v>
      </c>
      <c r="I5" s="328">
        <v>70</v>
      </c>
      <c r="J5" s="336">
        <f>H5*I5*35</f>
        <v>4817435</v>
      </c>
      <c r="K5" s="316"/>
      <c r="L5" s="337"/>
      <c r="M5" s="343">
        <f t="shared" ref="M5:M7" si="2">SUM(J5:L5)</f>
        <v>4817435</v>
      </c>
      <c r="N5" s="331">
        <f>H5*I5*200</f>
        <v>27528200</v>
      </c>
      <c r="O5" s="316">
        <f>N5-M5</f>
        <v>22710765</v>
      </c>
    </row>
    <row r="6" spans="1:15" ht="22" customHeight="1" x14ac:dyDescent="0.2">
      <c r="A6" t="s">
        <v>1270</v>
      </c>
      <c r="B6" s="317">
        <v>517</v>
      </c>
      <c r="C6" s="317">
        <v>2213</v>
      </c>
      <c r="D6" s="317">
        <f t="shared" si="0"/>
        <v>1696</v>
      </c>
      <c r="E6" s="323">
        <f t="shared" si="1"/>
        <v>3.2804642166344298</v>
      </c>
      <c r="G6" s="314">
        <v>3</v>
      </c>
      <c r="H6" s="317">
        <f>C6*0.7</f>
        <v>1549.1</v>
      </c>
      <c r="I6" s="328">
        <v>70</v>
      </c>
      <c r="J6" s="336">
        <f>H6*I6*35</f>
        <v>3795295</v>
      </c>
      <c r="K6" s="316"/>
      <c r="L6" s="337"/>
      <c r="M6" s="343">
        <f t="shared" si="2"/>
        <v>3795295</v>
      </c>
      <c r="N6" s="331">
        <f>H6*I6*200</f>
        <v>21687400</v>
      </c>
      <c r="O6" s="316">
        <f>N6-M6</f>
        <v>17892105</v>
      </c>
    </row>
    <row r="7" spans="1:15" ht="22" customHeight="1" x14ac:dyDescent="0.2">
      <c r="A7" t="s">
        <v>1271</v>
      </c>
      <c r="B7" s="324">
        <v>134</v>
      </c>
      <c r="C7" s="324">
        <v>407</v>
      </c>
      <c r="D7" s="324">
        <f t="shared" si="0"/>
        <v>273</v>
      </c>
      <c r="E7" s="325">
        <f t="shared" si="1"/>
        <v>2.0373134328358211</v>
      </c>
      <c r="G7" s="314">
        <v>2</v>
      </c>
      <c r="H7" s="318">
        <f>C7*0.7</f>
        <v>284.89999999999998</v>
      </c>
      <c r="I7" s="328">
        <v>70</v>
      </c>
      <c r="J7" s="338"/>
      <c r="K7" s="319">
        <f>H7*I7*65</f>
        <v>1296295</v>
      </c>
      <c r="L7" s="339"/>
      <c r="M7" s="344">
        <f t="shared" si="2"/>
        <v>1296295</v>
      </c>
      <c r="N7" s="332">
        <f>H7*I7*200</f>
        <v>3988600</v>
      </c>
      <c r="O7" s="319">
        <f>N7-M7</f>
        <v>2692305</v>
      </c>
    </row>
    <row r="8" spans="1:15" ht="22" customHeight="1" x14ac:dyDescent="0.2">
      <c r="B8" s="320">
        <f>SUM(B4:B7)</f>
        <v>2027</v>
      </c>
      <c r="C8" s="320">
        <f>SUM(C4:C7)</f>
        <v>8896</v>
      </c>
      <c r="D8" s="320">
        <f>C8-B8</f>
        <v>6869</v>
      </c>
      <c r="E8" s="326">
        <f t="shared" si="1"/>
        <v>3.3887518500246667</v>
      </c>
      <c r="G8" s="315"/>
      <c r="H8" s="320">
        <f>SUM(H4:H7)</f>
        <v>6227.1999999999989</v>
      </c>
      <c r="I8" s="329"/>
      <c r="J8" s="340">
        <f t="shared" ref="J8:O8" si="3">SUM(J4:J7)</f>
        <v>8612730</v>
      </c>
      <c r="K8" s="321">
        <f t="shared" si="3"/>
        <v>1296295</v>
      </c>
      <c r="L8" s="341">
        <f t="shared" si="3"/>
        <v>33976599.999999993</v>
      </c>
      <c r="M8" s="345">
        <f t="shared" si="3"/>
        <v>43885624.999999993</v>
      </c>
      <c r="N8" s="333">
        <f t="shared" si="3"/>
        <v>87180800</v>
      </c>
      <c r="O8" s="321">
        <f t="shared" si="3"/>
        <v>43295175</v>
      </c>
    </row>
    <row r="9" spans="1:15" x14ac:dyDescent="0.2">
      <c r="B9" s="60"/>
      <c r="C9" s="139"/>
    </row>
    <row r="13" spans="1:15" x14ac:dyDescent="0.2">
      <c r="O13" s="346"/>
    </row>
    <row r="18" spans="1:8" x14ac:dyDescent="0.2">
      <c r="C18" t="s">
        <v>1384</v>
      </c>
      <c r="D18">
        <v>200</v>
      </c>
      <c r="E18">
        <v>450</v>
      </c>
    </row>
    <row r="19" spans="1:8" x14ac:dyDescent="0.2">
      <c r="C19" t="s">
        <v>1385</v>
      </c>
      <c r="D19">
        <v>35</v>
      </c>
      <c r="E19">
        <v>206</v>
      </c>
    </row>
    <row r="20" spans="1:8" x14ac:dyDescent="0.2">
      <c r="E20">
        <v>500</v>
      </c>
    </row>
    <row r="21" spans="1:8" x14ac:dyDescent="0.2">
      <c r="C21" t="s">
        <v>1386</v>
      </c>
      <c r="D21">
        <v>70</v>
      </c>
    </row>
    <row r="25" spans="1:8" ht="48" x14ac:dyDescent="0.2">
      <c r="B25" s="322" t="s">
        <v>1272</v>
      </c>
      <c r="C25" s="322" t="s">
        <v>1273</v>
      </c>
      <c r="D25" s="322" t="s">
        <v>1275</v>
      </c>
      <c r="E25" s="322" t="s">
        <v>1274</v>
      </c>
      <c r="G25" s="312" t="s">
        <v>1393</v>
      </c>
      <c r="H25" s="312" t="s">
        <v>1393</v>
      </c>
    </row>
    <row r="26" spans="1:8" x14ac:dyDescent="0.2">
      <c r="A26" t="s">
        <v>1202</v>
      </c>
      <c r="B26" s="317">
        <v>769</v>
      </c>
      <c r="C26" s="317">
        <v>3467</v>
      </c>
      <c r="D26" s="317">
        <f t="shared" ref="D26:D29" si="4">C26-B26</f>
        <v>2698</v>
      </c>
      <c r="E26" s="323">
        <f>C26/B26-1</f>
        <v>3.5084525357607284</v>
      </c>
      <c r="G26" s="314">
        <v>1</v>
      </c>
      <c r="H26" s="347">
        <v>200</v>
      </c>
    </row>
    <row r="27" spans="1:8" x14ac:dyDescent="0.2">
      <c r="A27" t="s">
        <v>1269</v>
      </c>
      <c r="B27" s="317">
        <v>607</v>
      </c>
      <c r="C27" s="317">
        <v>2809</v>
      </c>
      <c r="D27" s="317">
        <f t="shared" si="4"/>
        <v>2202</v>
      </c>
      <c r="E27" s="323">
        <f t="shared" ref="E27:E30" si="5">C27/B27-1</f>
        <v>3.6276771004942336</v>
      </c>
      <c r="G27" s="314">
        <v>3</v>
      </c>
      <c r="H27" s="347">
        <v>35</v>
      </c>
    </row>
    <row r="28" spans="1:8" x14ac:dyDescent="0.2">
      <c r="A28" t="s">
        <v>1270</v>
      </c>
      <c r="B28" s="317">
        <v>517</v>
      </c>
      <c r="C28" s="317">
        <v>2213</v>
      </c>
      <c r="D28" s="317">
        <f t="shared" si="4"/>
        <v>1696</v>
      </c>
      <c r="E28" s="323">
        <f t="shared" si="5"/>
        <v>3.2804642166344298</v>
      </c>
      <c r="G28" s="314">
        <v>3</v>
      </c>
      <c r="H28" s="347">
        <v>35</v>
      </c>
    </row>
    <row r="29" spans="1:8" x14ac:dyDescent="0.2">
      <c r="A29" t="s">
        <v>1271</v>
      </c>
      <c r="B29" s="324">
        <v>134</v>
      </c>
      <c r="C29" s="324">
        <v>417</v>
      </c>
      <c r="D29" s="324">
        <f t="shared" si="4"/>
        <v>283</v>
      </c>
      <c r="E29" s="325">
        <f t="shared" si="5"/>
        <v>2.1119402985074629</v>
      </c>
      <c r="G29" s="314">
        <v>2</v>
      </c>
      <c r="H29" s="347">
        <v>65</v>
      </c>
    </row>
    <row r="30" spans="1:8" x14ac:dyDescent="0.2">
      <c r="B30" s="320">
        <f>SUM(B26:B29)</f>
        <v>2027</v>
      </c>
      <c r="C30" s="320">
        <f>SUM(C26:C29)</f>
        <v>8906</v>
      </c>
      <c r="D30" s="320">
        <f>C30-B30</f>
        <v>6879</v>
      </c>
      <c r="E30" s="326">
        <f t="shared" si="5"/>
        <v>3.3936852491366549</v>
      </c>
      <c r="G30" s="315"/>
      <c r="H30" s="315"/>
    </row>
  </sheetData>
  <phoneticPr fontId="10" type="noConversion"/>
  <pageMargins left="0.1631496062992126" right="0.1631496062992126" top="0.41314960629921266" bottom="0.8" header="0.5" footer="0.10629921259842522"/>
  <pageSetup paperSize="9" scale="79" orientation="landscape"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4"/>
  <sheetViews>
    <sheetView showGridLines="0" workbookViewId="0">
      <selection activeCell="B3" sqref="B3:G23"/>
    </sheetView>
  </sheetViews>
  <sheetFormatPr baseColWidth="10" defaultRowHeight="16" x14ac:dyDescent="0.2"/>
  <cols>
    <col min="2" max="3" width="43.33203125" bestFit="1" customWidth="1"/>
  </cols>
  <sheetData>
    <row r="3" spans="1:7" ht="49" thickBot="1" x14ac:dyDescent="0.25">
      <c r="C3" s="38" t="s">
        <v>431</v>
      </c>
      <c r="D3" s="38" t="s">
        <v>1342</v>
      </c>
      <c r="E3" s="38" t="s">
        <v>430</v>
      </c>
      <c r="F3" s="38" t="s">
        <v>208</v>
      </c>
      <c r="G3" s="38" t="s">
        <v>211</v>
      </c>
    </row>
    <row r="4" spans="1:7" x14ac:dyDescent="0.2">
      <c r="A4">
        <v>1</v>
      </c>
      <c r="B4" s="175" t="s">
        <v>296</v>
      </c>
      <c r="C4" t="s">
        <v>1397</v>
      </c>
      <c r="E4" s="43"/>
      <c r="F4" s="43">
        <v>44</v>
      </c>
      <c r="G4" s="30">
        <v>1500</v>
      </c>
    </row>
    <row r="5" spans="1:7" x14ac:dyDescent="0.2">
      <c r="A5">
        <v>1</v>
      </c>
      <c r="B5" s="175" t="s">
        <v>434</v>
      </c>
      <c r="C5" t="s">
        <v>1306</v>
      </c>
      <c r="D5" t="s">
        <v>1119</v>
      </c>
      <c r="E5" s="43" t="s">
        <v>493</v>
      </c>
      <c r="F5" s="43">
        <v>75</v>
      </c>
      <c r="G5" s="30">
        <v>984</v>
      </c>
    </row>
    <row r="6" spans="1:7" x14ac:dyDescent="0.2">
      <c r="A6">
        <v>1</v>
      </c>
      <c r="B6" s="175" t="s">
        <v>298</v>
      </c>
      <c r="C6" t="s">
        <v>1276</v>
      </c>
      <c r="D6" t="s">
        <v>1119</v>
      </c>
      <c r="E6" s="43" t="s">
        <v>1153</v>
      </c>
      <c r="F6" s="43">
        <v>68</v>
      </c>
      <c r="G6" s="30">
        <v>888</v>
      </c>
    </row>
    <row r="7" spans="1:7" x14ac:dyDescent="0.2">
      <c r="A7">
        <v>1</v>
      </c>
      <c r="B7" s="175" t="s">
        <v>1378</v>
      </c>
      <c r="C7" t="s">
        <v>1308</v>
      </c>
      <c r="E7" s="43" t="s">
        <v>1267</v>
      </c>
      <c r="F7" s="43" t="s">
        <v>1268</v>
      </c>
      <c r="G7" s="30">
        <v>450</v>
      </c>
    </row>
    <row r="8" spans="1:7" x14ac:dyDescent="0.2">
      <c r="A8">
        <v>1</v>
      </c>
      <c r="B8" s="175" t="s">
        <v>178</v>
      </c>
      <c r="C8" t="s">
        <v>1277</v>
      </c>
      <c r="D8" t="s">
        <v>1119</v>
      </c>
      <c r="E8" s="43" t="s">
        <v>526</v>
      </c>
      <c r="F8" s="43">
        <v>42</v>
      </c>
      <c r="G8" s="30">
        <v>901</v>
      </c>
    </row>
    <row r="9" spans="1:7" x14ac:dyDescent="0.2">
      <c r="A9">
        <v>1</v>
      </c>
      <c r="B9" t="s">
        <v>300</v>
      </c>
      <c r="C9" t="s">
        <v>1309</v>
      </c>
      <c r="E9" s="43"/>
      <c r="F9" s="43">
        <v>28</v>
      </c>
      <c r="G9" s="30">
        <v>900</v>
      </c>
    </row>
    <row r="10" spans="1:7" x14ac:dyDescent="0.2">
      <c r="A10">
        <v>1</v>
      </c>
      <c r="B10" s="175" t="s">
        <v>301</v>
      </c>
      <c r="C10" s="33" t="s">
        <v>412</v>
      </c>
      <c r="D10" s="33" t="s">
        <v>1119</v>
      </c>
      <c r="E10" s="61" t="s">
        <v>499</v>
      </c>
      <c r="F10" s="61">
        <v>55</v>
      </c>
      <c r="G10" s="34">
        <v>756</v>
      </c>
    </row>
    <row r="11" spans="1:7" x14ac:dyDescent="0.2">
      <c r="A11">
        <v>1</v>
      </c>
      <c r="B11" s="35" t="s">
        <v>435</v>
      </c>
      <c r="C11" s="35" t="s">
        <v>446</v>
      </c>
      <c r="D11" s="35" t="s">
        <v>1119</v>
      </c>
      <c r="E11" s="62" t="s">
        <v>524</v>
      </c>
      <c r="F11" s="62">
        <v>32</v>
      </c>
      <c r="G11" s="36">
        <v>546</v>
      </c>
    </row>
    <row r="12" spans="1:7" x14ac:dyDescent="0.2">
      <c r="A12">
        <v>1</v>
      </c>
      <c r="B12" s="176" t="s">
        <v>1136</v>
      </c>
      <c r="C12" s="37" t="s">
        <v>457</v>
      </c>
      <c r="D12" s="37" t="s">
        <v>1119</v>
      </c>
      <c r="E12" s="63" t="s">
        <v>494</v>
      </c>
      <c r="F12" s="63">
        <v>58</v>
      </c>
      <c r="G12" s="45">
        <v>575</v>
      </c>
    </row>
    <row r="13" spans="1:7" x14ac:dyDescent="0.2">
      <c r="A13">
        <v>1</v>
      </c>
      <c r="B13" s="177" t="s">
        <v>451</v>
      </c>
      <c r="C13" s="126" t="s">
        <v>1310</v>
      </c>
      <c r="D13" s="126"/>
      <c r="E13" s="62" t="s">
        <v>498</v>
      </c>
      <c r="F13" s="62">
        <v>53</v>
      </c>
      <c r="G13" s="36">
        <v>410</v>
      </c>
    </row>
    <row r="14" spans="1:7" x14ac:dyDescent="0.2">
      <c r="A14">
        <v>1</v>
      </c>
      <c r="B14" s="177" t="s">
        <v>1311</v>
      </c>
      <c r="C14" s="126" t="s">
        <v>457</v>
      </c>
      <c r="D14" s="126" t="s">
        <v>1119</v>
      </c>
      <c r="E14" s="62" t="s">
        <v>528</v>
      </c>
      <c r="F14" s="62">
        <v>39</v>
      </c>
      <c r="G14" s="36"/>
    </row>
    <row r="15" spans="1:7" x14ac:dyDescent="0.2">
      <c r="A15">
        <v>1</v>
      </c>
      <c r="B15" s="178" t="s">
        <v>437</v>
      </c>
      <c r="C15" s="126" t="s">
        <v>1279</v>
      </c>
      <c r="D15" s="126"/>
      <c r="E15" s="64" t="s">
        <v>1353</v>
      </c>
      <c r="F15" s="62">
        <v>60</v>
      </c>
      <c r="G15" s="36">
        <v>685</v>
      </c>
    </row>
    <row r="16" spans="1:7" x14ac:dyDescent="0.2">
      <c r="A16">
        <v>1</v>
      </c>
      <c r="B16" s="175" t="s">
        <v>1152</v>
      </c>
      <c r="C16" s="126" t="s">
        <v>460</v>
      </c>
      <c r="D16" s="126"/>
      <c r="E16" s="43"/>
      <c r="F16" s="43">
        <v>39</v>
      </c>
      <c r="G16" s="30">
        <v>275</v>
      </c>
    </row>
    <row r="17" spans="1:7" x14ac:dyDescent="0.2">
      <c r="A17">
        <v>1</v>
      </c>
      <c r="B17" s="175" t="s">
        <v>1335</v>
      </c>
      <c r="C17" t="s">
        <v>1262</v>
      </c>
      <c r="E17" s="43"/>
      <c r="F17" s="43"/>
      <c r="G17" s="30">
        <v>206</v>
      </c>
    </row>
    <row r="18" spans="1:7" x14ac:dyDescent="0.2">
      <c r="A18">
        <v>1</v>
      </c>
      <c r="B18" t="s">
        <v>461</v>
      </c>
      <c r="C18" s="126" t="s">
        <v>457</v>
      </c>
      <c r="D18" s="126" t="s">
        <v>1119</v>
      </c>
      <c r="E18" s="43"/>
      <c r="F18" s="43">
        <v>14</v>
      </c>
      <c r="G18" s="43">
        <v>132</v>
      </c>
    </row>
    <row r="19" spans="1:7" x14ac:dyDescent="0.2">
      <c r="A19">
        <v>1</v>
      </c>
      <c r="B19" s="175" t="s">
        <v>113</v>
      </c>
      <c r="C19" t="s">
        <v>1314</v>
      </c>
      <c r="E19" s="43"/>
      <c r="F19" s="43" t="s">
        <v>11</v>
      </c>
      <c r="G19" s="30">
        <v>425</v>
      </c>
    </row>
    <row r="20" spans="1:7" x14ac:dyDescent="0.2">
      <c r="A20">
        <v>1</v>
      </c>
      <c r="B20" s="175" t="s">
        <v>466</v>
      </c>
      <c r="C20" t="s">
        <v>455</v>
      </c>
      <c r="D20" t="s">
        <v>1119</v>
      </c>
      <c r="E20" s="43" t="s">
        <v>500</v>
      </c>
      <c r="F20" s="43">
        <v>53</v>
      </c>
      <c r="G20" s="30">
        <v>423</v>
      </c>
    </row>
    <row r="21" spans="1:7" x14ac:dyDescent="0.2">
      <c r="A21">
        <v>1</v>
      </c>
      <c r="B21" s="175" t="s">
        <v>1339</v>
      </c>
      <c r="C21" t="s">
        <v>446</v>
      </c>
      <c r="D21" t="s">
        <v>1119</v>
      </c>
      <c r="E21" s="43"/>
      <c r="F21" s="43">
        <v>31</v>
      </c>
      <c r="G21" s="30">
        <v>121</v>
      </c>
    </row>
    <row r="22" spans="1:7" x14ac:dyDescent="0.2">
      <c r="B22" t="s">
        <v>1162</v>
      </c>
      <c r="C22" t="s">
        <v>460</v>
      </c>
      <c r="E22" s="43" t="s">
        <v>1161</v>
      </c>
      <c r="F22" s="43">
        <v>45</v>
      </c>
      <c r="G22" s="43">
        <v>484</v>
      </c>
    </row>
    <row r="23" spans="1:7" x14ac:dyDescent="0.2">
      <c r="E23" s="43"/>
      <c r="F23" s="43"/>
      <c r="G23" s="44">
        <f>SUM(G4:G22)</f>
        <v>10661</v>
      </c>
    </row>
    <row r="24" spans="1:7" x14ac:dyDescent="0.2">
      <c r="E24" s="43"/>
    </row>
  </sheetData>
  <sortState ref="A14:H80">
    <sortCondition ref="A14:A80"/>
  </sortState>
  <pageMargins left="0.75" right="0.75" top="1" bottom="1" header="0.5" footer="0.5"/>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79"/>
  <sheetViews>
    <sheetView showGridLines="0" topLeftCell="A55" workbookViewId="0">
      <selection activeCell="I75" sqref="I75"/>
    </sheetView>
  </sheetViews>
  <sheetFormatPr baseColWidth="10" defaultRowHeight="16" x14ac:dyDescent="0.2"/>
  <cols>
    <col min="1" max="2" width="10.83203125" style="447"/>
    <col min="3" max="3" width="23.33203125" style="447" customWidth="1"/>
    <col min="4" max="10" width="10.83203125" style="447"/>
    <col min="11" max="11" width="11.83203125" style="447" customWidth="1"/>
    <col min="12" max="12" width="10.83203125" style="447" customWidth="1"/>
    <col min="13" max="16" width="14.83203125" style="447" customWidth="1"/>
    <col min="17" max="16384" width="10.83203125" style="447"/>
  </cols>
  <sheetData>
    <row r="6" spans="3:12" x14ac:dyDescent="0.2">
      <c r="C6" s="453" t="s">
        <v>1868</v>
      </c>
      <c r="D6" s="453">
        <v>1981</v>
      </c>
      <c r="E6" s="453">
        <v>1991</v>
      </c>
      <c r="F6" s="453">
        <v>2001</v>
      </c>
      <c r="G6" s="453">
        <v>2011</v>
      </c>
      <c r="H6" s="453">
        <v>2016</v>
      </c>
      <c r="I6" s="453">
        <v>2021</v>
      </c>
      <c r="J6" s="453">
        <v>2026</v>
      </c>
      <c r="K6" s="453">
        <v>2031</v>
      </c>
      <c r="L6" s="453">
        <v>2050</v>
      </c>
    </row>
    <row r="8" spans="3:12" x14ac:dyDescent="0.2">
      <c r="C8" s="447" t="s">
        <v>1872</v>
      </c>
      <c r="D8" s="452">
        <v>138076</v>
      </c>
      <c r="E8" s="448">
        <v>147896</v>
      </c>
      <c r="F8" s="448">
        <v>196106</v>
      </c>
      <c r="G8" s="448">
        <v>256684.52600000001</v>
      </c>
    </row>
    <row r="9" spans="3:12" x14ac:dyDescent="0.2">
      <c r="C9" s="449" t="s">
        <v>1870</v>
      </c>
      <c r="D9" s="448"/>
      <c r="H9" s="450">
        <v>290483.76699999999</v>
      </c>
      <c r="I9" s="450">
        <v>305239.17700000003</v>
      </c>
      <c r="J9" s="448">
        <v>317201.717</v>
      </c>
      <c r="K9" s="448">
        <v>327816.36300000001</v>
      </c>
      <c r="L9" s="450">
        <v>355987.70500000002</v>
      </c>
    </row>
    <row r="10" spans="3:12" x14ac:dyDescent="0.2">
      <c r="C10" s="447" t="s">
        <v>1871</v>
      </c>
      <c r="D10" s="448"/>
      <c r="E10" s="451">
        <f>E8/D8-1</f>
        <v>7.1120252614502055E-2</v>
      </c>
      <c r="F10" s="451">
        <f>F8/E8-1</f>
        <v>0.32597230486287665</v>
      </c>
      <c r="G10" s="451">
        <f>G8/F8-1</f>
        <v>0.30890705026873233</v>
      </c>
      <c r="H10" s="451">
        <f>H9/G8-1</f>
        <v>0.13167619227658456</v>
      </c>
      <c r="I10" s="451">
        <f>I9/H9-1</f>
        <v>5.079598819716491E-2</v>
      </c>
      <c r="J10" s="451">
        <f>J9/I9-1</f>
        <v>3.9190709782315869E-2</v>
      </c>
      <c r="K10" s="451">
        <f>K9/J9-1</f>
        <v>3.3463393894554549E-2</v>
      </c>
      <c r="L10" s="451">
        <f>L9/K9-1</f>
        <v>8.5936350895333469E-2</v>
      </c>
    </row>
    <row r="11" spans="3:12" x14ac:dyDescent="0.2">
      <c r="D11" s="448"/>
      <c r="G11" s="448"/>
      <c r="H11" s="448"/>
      <c r="I11" s="448"/>
    </row>
    <row r="12" spans="3:12" x14ac:dyDescent="0.2">
      <c r="C12" s="447" t="s">
        <v>1873</v>
      </c>
      <c r="D12" s="448">
        <v>5406</v>
      </c>
      <c r="E12" s="448">
        <v>4403</v>
      </c>
      <c r="F12" s="448">
        <v>11939</v>
      </c>
      <c r="G12" s="448"/>
      <c r="H12" s="448"/>
      <c r="I12" s="448"/>
    </row>
    <row r="13" spans="3:12" x14ac:dyDescent="0.2">
      <c r="C13" s="447" t="s">
        <v>1874</v>
      </c>
      <c r="D13" s="448">
        <v>9858</v>
      </c>
      <c r="E13" s="448">
        <v>12234</v>
      </c>
      <c r="F13" s="448">
        <v>12892</v>
      </c>
      <c r="G13" s="448"/>
      <c r="H13" s="448"/>
      <c r="I13" s="448"/>
    </row>
    <row r="14" spans="3:12" x14ac:dyDescent="0.2">
      <c r="D14" s="448">
        <f>SUM(D12:D13)</f>
        <v>15264</v>
      </c>
      <c r="E14" s="448">
        <f>SUM(E12:E13)</f>
        <v>16637</v>
      </c>
      <c r="F14" s="448">
        <f>SUM(F12:F13)</f>
        <v>24831</v>
      </c>
      <c r="G14" s="448"/>
      <c r="H14" s="448"/>
      <c r="I14" s="448"/>
    </row>
    <row r="15" spans="3:12" x14ac:dyDescent="0.2">
      <c r="D15" s="448"/>
      <c r="E15" s="451">
        <f t="shared" ref="E15:F15" si="0">E14/D14-1</f>
        <v>8.9950209643605783E-2</v>
      </c>
      <c r="F15" s="451">
        <f t="shared" si="0"/>
        <v>0.49251667968984791</v>
      </c>
      <c r="G15" s="448"/>
      <c r="H15" s="448"/>
      <c r="I15" s="448"/>
    </row>
    <row r="16" spans="3:12" x14ac:dyDescent="0.2">
      <c r="D16" s="448"/>
      <c r="F16" s="448"/>
      <c r="G16" s="448"/>
      <c r="H16" s="448"/>
      <c r="I16" s="448"/>
    </row>
    <row r="17" spans="3:15" x14ac:dyDescent="0.2">
      <c r="F17" s="448"/>
      <c r="G17" s="448"/>
      <c r="H17" s="448"/>
      <c r="I17" s="448"/>
    </row>
    <row r="18" spans="3:15" x14ac:dyDescent="0.2">
      <c r="C18" s="447" t="s">
        <v>200</v>
      </c>
      <c r="D18" s="448"/>
      <c r="F18" s="448"/>
      <c r="G18" s="448">
        <v>13531</v>
      </c>
      <c r="H18" s="448"/>
      <c r="I18" s="448"/>
    </row>
    <row r="19" spans="3:15" x14ac:dyDescent="0.2">
      <c r="C19" s="447" t="s">
        <v>199</v>
      </c>
      <c r="D19" s="448"/>
      <c r="F19" s="448"/>
      <c r="G19" s="448">
        <v>14220</v>
      </c>
      <c r="H19" s="448"/>
      <c r="I19" s="448"/>
    </row>
    <row r="20" spans="3:15" x14ac:dyDescent="0.2">
      <c r="C20" s="447" t="s">
        <v>24</v>
      </c>
      <c r="D20" s="448"/>
      <c r="F20" s="448"/>
      <c r="G20" s="448">
        <v>12500</v>
      </c>
      <c r="H20" s="448"/>
      <c r="I20" s="448"/>
    </row>
    <row r="21" spans="3:15" x14ac:dyDescent="0.2">
      <c r="C21" s="447" t="s">
        <v>1534</v>
      </c>
      <c r="D21" s="448"/>
      <c r="F21" s="448"/>
      <c r="G21" s="448">
        <v>6957</v>
      </c>
      <c r="H21" s="448"/>
      <c r="I21" s="448"/>
    </row>
    <row r="22" spans="3:15" x14ac:dyDescent="0.2">
      <c r="C22" s="447" t="s">
        <v>1869</v>
      </c>
      <c r="D22" s="448"/>
      <c r="G22" s="448">
        <f>SUM(G18:G21)</f>
        <v>47208</v>
      </c>
    </row>
    <row r="23" spans="3:15" x14ac:dyDescent="0.2">
      <c r="D23" s="448"/>
      <c r="E23" s="448"/>
    </row>
    <row r="24" spans="3:15" x14ac:dyDescent="0.2">
      <c r="C24" s="447" t="s">
        <v>1878</v>
      </c>
      <c r="D24" s="448"/>
      <c r="E24" s="448"/>
    </row>
    <row r="25" spans="3:15" ht="48" x14ac:dyDescent="0.2">
      <c r="D25" s="466">
        <v>2015</v>
      </c>
      <c r="E25" s="466" t="s">
        <v>1883</v>
      </c>
      <c r="F25" s="466">
        <v>2031</v>
      </c>
      <c r="G25" s="445" t="s">
        <v>1881</v>
      </c>
    </row>
    <row r="26" spans="3:15" x14ac:dyDescent="0.2">
      <c r="D26" s="466"/>
      <c r="E26" s="466"/>
      <c r="F26" s="466"/>
      <c r="G26" s="445"/>
    </row>
    <row r="27" spans="3:15" x14ac:dyDescent="0.2">
      <c r="D27" s="466"/>
      <c r="E27" s="466"/>
      <c r="F27" s="466"/>
      <c r="G27" s="445"/>
    </row>
    <row r="28" spans="3:15" ht="32" x14ac:dyDescent="0.2">
      <c r="C28" s="6" t="s">
        <v>1880</v>
      </c>
      <c r="D28" s="467" t="s">
        <v>1879</v>
      </c>
      <c r="E28" s="467" t="s">
        <v>1882</v>
      </c>
      <c r="F28" s="467"/>
      <c r="G28" s="454"/>
      <c r="K28" s="455"/>
      <c r="L28" s="458"/>
      <c r="M28" s="460"/>
      <c r="N28" s="460"/>
      <c r="O28" s="459"/>
    </row>
    <row r="29" spans="3:15" x14ac:dyDescent="0.2">
      <c r="D29" s="461"/>
      <c r="E29" s="461"/>
      <c r="F29" s="461"/>
      <c r="K29" s="455"/>
      <c r="L29" s="458"/>
      <c r="M29" s="460"/>
      <c r="N29" s="460"/>
      <c r="O29" s="459"/>
    </row>
    <row r="30" spans="3:15" x14ac:dyDescent="0.2">
      <c r="C30" s="447" t="s">
        <v>200</v>
      </c>
      <c r="D30" s="448">
        <v>16854</v>
      </c>
      <c r="E30" s="448">
        <v>25200</v>
      </c>
      <c r="F30" s="448">
        <f>D30+E30</f>
        <v>42054</v>
      </c>
      <c r="G30" s="451">
        <f>F30/D30-1</f>
        <v>1.495194019223923</v>
      </c>
    </row>
    <row r="31" spans="3:15" x14ac:dyDescent="0.2">
      <c r="C31" s="447" t="s">
        <v>24</v>
      </c>
      <c r="D31" s="448">
        <v>16576</v>
      </c>
      <c r="E31" s="448">
        <v>21400</v>
      </c>
      <c r="F31" s="448">
        <f t="shared" ref="F31:F33" si="1">D31+E31</f>
        <v>37976</v>
      </c>
      <c r="G31" s="451">
        <f t="shared" ref="G31:G34" si="2">F31/D31-1</f>
        <v>1.2910231660231659</v>
      </c>
    </row>
    <row r="32" spans="3:15" x14ac:dyDescent="0.2">
      <c r="C32" s="447" t="s">
        <v>199</v>
      </c>
      <c r="D32" s="448">
        <v>15942</v>
      </c>
      <c r="E32" s="448">
        <v>600</v>
      </c>
      <c r="F32" s="448">
        <f t="shared" si="1"/>
        <v>16542</v>
      </c>
      <c r="G32" s="451">
        <f t="shared" si="2"/>
        <v>3.7636432066240122E-2</v>
      </c>
    </row>
    <row r="33" spans="3:10" x14ac:dyDescent="0.2">
      <c r="C33" s="447" t="s">
        <v>1534</v>
      </c>
      <c r="D33" s="462">
        <v>7458</v>
      </c>
      <c r="E33" s="462">
        <v>6200</v>
      </c>
      <c r="F33" s="462">
        <f t="shared" si="1"/>
        <v>13658</v>
      </c>
      <c r="G33" s="463">
        <f t="shared" si="2"/>
        <v>0.83132207026012339</v>
      </c>
    </row>
    <row r="34" spans="3:10" x14ac:dyDescent="0.2">
      <c r="C34" s="446" t="s">
        <v>1869</v>
      </c>
      <c r="D34" s="464">
        <f>SUM(D30:D33)</f>
        <v>56830</v>
      </c>
      <c r="E34" s="464">
        <f t="shared" ref="E34:F34" si="3">SUM(E30:E33)</f>
        <v>53400</v>
      </c>
      <c r="F34" s="464">
        <f t="shared" si="3"/>
        <v>110230</v>
      </c>
      <c r="G34" s="465">
        <f t="shared" si="2"/>
        <v>0.93964455393278201</v>
      </c>
    </row>
    <row r="36" spans="3:10" x14ac:dyDescent="0.2">
      <c r="C36" s="447" t="s">
        <v>1877</v>
      </c>
    </row>
    <row r="38" spans="3:10" x14ac:dyDescent="0.2">
      <c r="C38" s="6" t="s">
        <v>1880</v>
      </c>
      <c r="D38" s="467" t="s">
        <v>1879</v>
      </c>
      <c r="E38" s="467" t="s">
        <v>1884</v>
      </c>
      <c r="F38" s="467"/>
      <c r="G38" s="454"/>
    </row>
    <row r="39" spans="3:10" x14ac:dyDescent="0.2">
      <c r="D39" s="461"/>
      <c r="E39" s="461"/>
      <c r="F39" s="461"/>
    </row>
    <row r="40" spans="3:10" x14ac:dyDescent="0.2">
      <c r="C40" s="447" t="s">
        <v>200</v>
      </c>
      <c r="D40" s="448">
        <v>16854</v>
      </c>
      <c r="E40" s="448">
        <f>'Ward Analysis'!Q99</f>
        <v>14468</v>
      </c>
      <c r="F40" s="448">
        <f>D40+E40</f>
        <v>31322</v>
      </c>
      <c r="G40" s="451">
        <f>F40/D40-1</f>
        <v>0.85843123294173496</v>
      </c>
    </row>
    <row r="41" spans="3:10" x14ac:dyDescent="0.2">
      <c r="C41" s="447" t="s">
        <v>24</v>
      </c>
      <c r="D41" s="448">
        <v>16576</v>
      </c>
      <c r="E41" s="448" t="e">
        <f>'Ward Analysis'!#REF!</f>
        <v>#REF!</v>
      </c>
      <c r="F41" s="448" t="e">
        <f t="shared" ref="F41:F43" si="4">D41+E41</f>
        <v>#REF!</v>
      </c>
      <c r="G41" s="451" t="e">
        <f t="shared" ref="G41:G44" si="5">F41/D41-1</f>
        <v>#REF!</v>
      </c>
    </row>
    <row r="42" spans="3:10" x14ac:dyDescent="0.2">
      <c r="C42" s="447" t="s">
        <v>199</v>
      </c>
      <c r="D42" s="448">
        <v>15942</v>
      </c>
      <c r="E42" s="448">
        <f>'Ward Analysis'!Q139</f>
        <v>1238</v>
      </c>
      <c r="F42" s="448">
        <f t="shared" si="4"/>
        <v>17180</v>
      </c>
      <c r="G42" s="451">
        <f t="shared" si="5"/>
        <v>7.7656504830008855E-2</v>
      </c>
    </row>
    <row r="43" spans="3:10" x14ac:dyDescent="0.2">
      <c r="C43" s="447" t="s">
        <v>1534</v>
      </c>
      <c r="D43" s="462">
        <v>7458</v>
      </c>
      <c r="E43" s="462">
        <f>'Ward Analysis'!Q156</f>
        <v>4028</v>
      </c>
      <c r="F43" s="462">
        <f t="shared" si="4"/>
        <v>11486</v>
      </c>
      <c r="G43" s="463">
        <f t="shared" si="5"/>
        <v>0.54009117725931888</v>
      </c>
    </row>
    <row r="44" spans="3:10" x14ac:dyDescent="0.2">
      <c r="C44" s="446" t="s">
        <v>1869</v>
      </c>
      <c r="D44" s="464">
        <f>SUM(D40:D43)</f>
        <v>56830</v>
      </c>
      <c r="E44" s="464" t="e">
        <f t="shared" ref="E44" si="6">SUM(E40:E43)</f>
        <v>#REF!</v>
      </c>
      <c r="F44" s="464" t="e">
        <f t="shared" ref="F44" si="7">SUM(F40:F43)</f>
        <v>#REF!</v>
      </c>
      <c r="G44" s="465" t="e">
        <f t="shared" si="5"/>
        <v>#REF!</v>
      </c>
    </row>
    <row r="47" spans="3:10" x14ac:dyDescent="0.2">
      <c r="D47" s="446">
        <v>2011</v>
      </c>
      <c r="E47" s="446">
        <v>2016</v>
      </c>
      <c r="F47" s="446">
        <v>2021</v>
      </c>
      <c r="G47" s="446">
        <v>2026</v>
      </c>
      <c r="H47" s="446">
        <v>2031</v>
      </c>
      <c r="I47" s="446">
        <v>2036</v>
      </c>
      <c r="J47" s="446">
        <v>2041</v>
      </c>
    </row>
    <row r="48" spans="3:10" x14ac:dyDescent="0.2">
      <c r="C48" s="447" t="s">
        <v>1885</v>
      </c>
      <c r="D48" s="450">
        <v>256684.525738</v>
      </c>
      <c r="E48" s="450">
        <v>290632.35792993399</v>
      </c>
      <c r="F48" s="450">
        <v>305614.07159886102</v>
      </c>
      <c r="G48" s="450">
        <v>317657.96105197002</v>
      </c>
      <c r="H48" s="450">
        <v>328272.48111326899</v>
      </c>
      <c r="I48" s="450">
        <v>337866.05910492601</v>
      </c>
      <c r="J48" s="450">
        <v>346007.29852493101</v>
      </c>
    </row>
    <row r="49" spans="3:10" x14ac:dyDescent="0.2">
      <c r="C49" s="447" t="s">
        <v>1886</v>
      </c>
      <c r="D49" s="450">
        <v>256684.525738</v>
      </c>
      <c r="E49" s="450">
        <v>298105.13480040903</v>
      </c>
      <c r="F49" s="450">
        <v>327282.87304196501</v>
      </c>
      <c r="G49" s="450">
        <v>349351.194393549</v>
      </c>
      <c r="H49" s="450">
        <v>367450.95392524602</v>
      </c>
      <c r="I49" s="450">
        <v>383007.13802744902</v>
      </c>
      <c r="J49" s="450">
        <v>395878.27584947</v>
      </c>
    </row>
    <row r="50" spans="3:10" x14ac:dyDescent="0.2">
      <c r="C50" s="447" t="s">
        <v>1887</v>
      </c>
      <c r="D50" s="448"/>
      <c r="E50" s="448">
        <v>303900</v>
      </c>
      <c r="F50" s="448">
        <v>339000</v>
      </c>
      <c r="G50" s="448">
        <v>365400</v>
      </c>
      <c r="H50" s="448">
        <v>388400</v>
      </c>
      <c r="I50" s="448"/>
      <c r="J50" s="448"/>
    </row>
    <row r="54" spans="3:10" ht="64" x14ac:dyDescent="0.2">
      <c r="C54" s="469" t="s">
        <v>1876</v>
      </c>
      <c r="D54" s="469" t="s">
        <v>1875</v>
      </c>
      <c r="E54" s="469" t="s">
        <v>1889</v>
      </c>
      <c r="F54" s="469" t="s">
        <v>1890</v>
      </c>
      <c r="G54" s="469" t="s">
        <v>1871</v>
      </c>
      <c r="H54" s="469" t="s">
        <v>1888</v>
      </c>
      <c r="I54" s="469" t="s">
        <v>1871</v>
      </c>
    </row>
    <row r="55" spans="3:10" x14ac:dyDescent="0.2">
      <c r="C55" s="455">
        <v>1981</v>
      </c>
      <c r="D55" s="456">
        <v>138076</v>
      </c>
      <c r="E55" s="457"/>
      <c r="F55" s="457"/>
      <c r="H55" s="457"/>
    </row>
    <row r="56" spans="3:10" x14ac:dyDescent="0.2">
      <c r="C56" s="455">
        <v>1991</v>
      </c>
      <c r="D56" s="457">
        <v>147896</v>
      </c>
      <c r="E56" s="458"/>
      <c r="F56" s="458"/>
      <c r="H56" s="458"/>
    </row>
    <row r="57" spans="3:10" x14ac:dyDescent="0.2">
      <c r="C57" s="455">
        <v>2001</v>
      </c>
      <c r="D57" s="457">
        <v>196106</v>
      </c>
      <c r="E57" s="458"/>
      <c r="F57" s="458"/>
      <c r="G57" s="459">
        <f>D57/D56-1</f>
        <v>0.32597230486287665</v>
      </c>
      <c r="H57" s="458"/>
    </row>
    <row r="58" spans="3:10" x14ac:dyDescent="0.2">
      <c r="C58" s="455">
        <v>2011</v>
      </c>
      <c r="D58" s="457">
        <v>256684.52600000001</v>
      </c>
      <c r="E58" s="457"/>
      <c r="F58" s="457"/>
      <c r="G58" s="459">
        <f>D58/D57-1</f>
        <v>0.30890705026873233</v>
      </c>
      <c r="H58" s="468"/>
    </row>
    <row r="59" spans="3:10" x14ac:dyDescent="0.2">
      <c r="C59" s="455">
        <v>2016</v>
      </c>
      <c r="D59" s="458"/>
      <c r="E59" s="460">
        <v>290632.35792993399</v>
      </c>
      <c r="F59" s="460">
        <v>298105.13480040903</v>
      </c>
      <c r="G59" s="459">
        <f>F59/D58-1</f>
        <v>0.16136776706364064</v>
      </c>
      <c r="H59" s="468">
        <v>303900</v>
      </c>
      <c r="I59" s="459">
        <f>H59/D58-1</f>
        <v>0.18394359307814279</v>
      </c>
    </row>
    <row r="60" spans="3:10" x14ac:dyDescent="0.2">
      <c r="C60" s="455">
        <v>2021</v>
      </c>
      <c r="D60" s="458"/>
      <c r="E60" s="460">
        <v>305614.07159886102</v>
      </c>
      <c r="F60" s="460">
        <v>327282.87304196501</v>
      </c>
      <c r="G60" s="459">
        <f>F60/F59-1</f>
        <v>9.7877342036028381E-2</v>
      </c>
      <c r="H60" s="468">
        <v>339000</v>
      </c>
      <c r="I60" s="459">
        <f>H60/H59-1</f>
        <v>0.1154985192497533</v>
      </c>
    </row>
    <row r="61" spans="3:10" x14ac:dyDescent="0.2">
      <c r="C61" s="455">
        <v>2026</v>
      </c>
      <c r="D61" s="458"/>
      <c r="E61" s="457">
        <v>317657.96105197002</v>
      </c>
      <c r="F61" s="457">
        <v>349351.194393549</v>
      </c>
      <c r="G61" s="459">
        <f t="shared" ref="G61:G64" si="8">F61/F60-1</f>
        <v>6.7428891547142822E-2</v>
      </c>
      <c r="H61" s="468">
        <v>365400</v>
      </c>
      <c r="I61" s="459">
        <f t="shared" ref="I61:I62" si="9">H61/H60-1</f>
        <v>7.7876106194690209E-2</v>
      </c>
    </row>
    <row r="62" spans="3:10" x14ac:dyDescent="0.2">
      <c r="C62" s="455">
        <v>2031</v>
      </c>
      <c r="D62" s="458"/>
      <c r="E62" s="457">
        <v>328272.48111326899</v>
      </c>
      <c r="F62" s="457">
        <v>367450.95392524602</v>
      </c>
      <c r="G62" s="459">
        <f t="shared" si="8"/>
        <v>5.1809639761263737E-2</v>
      </c>
      <c r="H62" s="468">
        <v>388400</v>
      </c>
      <c r="I62" s="459">
        <f t="shared" si="9"/>
        <v>6.294471811713187E-2</v>
      </c>
    </row>
    <row r="63" spans="3:10" x14ac:dyDescent="0.2">
      <c r="C63" s="455">
        <v>2036</v>
      </c>
      <c r="D63" s="458"/>
      <c r="E63" s="460">
        <v>337866.05910492601</v>
      </c>
      <c r="F63" s="460">
        <v>383007.13802744902</v>
      </c>
      <c r="G63" s="459">
        <f t="shared" si="8"/>
        <v>4.2335402687150747E-2</v>
      </c>
    </row>
    <row r="64" spans="3:10" x14ac:dyDescent="0.2">
      <c r="C64" s="455">
        <v>2041</v>
      </c>
      <c r="D64" s="458"/>
      <c r="E64" s="460">
        <v>346007.29852493101</v>
      </c>
      <c r="F64" s="460">
        <v>395878.27584947</v>
      </c>
      <c r="G64" s="459">
        <f t="shared" si="8"/>
        <v>3.3605477663704919E-2</v>
      </c>
    </row>
    <row r="67" spans="3:7" x14ac:dyDescent="0.2">
      <c r="C67" s="470" t="s">
        <v>1891</v>
      </c>
    </row>
    <row r="71" spans="3:7" ht="17" thickBot="1" x14ac:dyDescent="0.25">
      <c r="C71" s="585"/>
      <c r="D71" s="586">
        <v>2015</v>
      </c>
      <c r="E71" s="586" t="s">
        <v>2072</v>
      </c>
      <c r="F71" s="586">
        <v>2031</v>
      </c>
      <c r="G71" s="587"/>
    </row>
    <row r="72" spans="3:7" ht="17" thickBot="1" x14ac:dyDescent="0.25">
      <c r="C72" s="585" t="s">
        <v>1880</v>
      </c>
      <c r="D72" s="586" t="s">
        <v>1879</v>
      </c>
      <c r="E72" s="586" t="s">
        <v>1884</v>
      </c>
      <c r="F72" s="587"/>
      <c r="G72" s="587"/>
    </row>
    <row r="74" spans="3:7" x14ac:dyDescent="0.2">
      <c r="C74" s="585" t="s">
        <v>200</v>
      </c>
      <c r="D74" s="588">
        <v>16854</v>
      </c>
      <c r="E74" s="588">
        <f>F74-D74</f>
        <v>29635</v>
      </c>
      <c r="F74" s="588">
        <f>Summary!I25</f>
        <v>46489</v>
      </c>
      <c r="G74" s="589">
        <f>F74/D74-1</f>
        <v>1.7583362999881333</v>
      </c>
    </row>
    <row r="75" spans="3:7" x14ac:dyDescent="0.2">
      <c r="C75" s="585" t="s">
        <v>24</v>
      </c>
      <c r="D75" s="588">
        <v>16576</v>
      </c>
      <c r="E75" s="588">
        <f t="shared" ref="E75:E79" si="10">F75-D75</f>
        <v>28295</v>
      </c>
      <c r="F75" s="588">
        <f>Summary!I24</f>
        <v>44871</v>
      </c>
      <c r="G75" s="589">
        <f t="shared" ref="G75:G79" si="11">F75/D75-1</f>
        <v>1.7069860038610041</v>
      </c>
    </row>
    <row r="76" spans="3:7" ht="17" thickBot="1" x14ac:dyDescent="0.25">
      <c r="C76" s="585" t="s">
        <v>199</v>
      </c>
      <c r="D76" s="590">
        <v>15942</v>
      </c>
      <c r="E76" s="590">
        <f>SUM(Summary!D26:H26)</f>
        <v>964</v>
      </c>
      <c r="F76" s="590">
        <f>D76+E76</f>
        <v>16906</v>
      </c>
      <c r="G76" s="591">
        <f t="shared" si="11"/>
        <v>6.0469200853092486E-2</v>
      </c>
    </row>
    <row r="77" spans="3:7" x14ac:dyDescent="0.2">
      <c r="C77" s="592" t="s">
        <v>378</v>
      </c>
      <c r="D77" s="593">
        <v>49372</v>
      </c>
      <c r="E77" s="593">
        <f t="shared" si="10"/>
        <v>58894</v>
      </c>
      <c r="F77" s="593">
        <f>SUM(F74:F76)</f>
        <v>108266</v>
      </c>
      <c r="G77" s="594">
        <f t="shared" si="11"/>
        <v>1.1928623511301955</v>
      </c>
    </row>
    <row r="78" spans="3:7" ht="17" thickBot="1" x14ac:dyDescent="0.25">
      <c r="C78" s="585" t="s">
        <v>1534</v>
      </c>
      <c r="D78" s="590">
        <v>7458</v>
      </c>
      <c r="E78" s="590">
        <f t="shared" si="10"/>
        <v>3527</v>
      </c>
      <c r="F78" s="590">
        <f>Summary!I27</f>
        <v>10985</v>
      </c>
      <c r="G78" s="591">
        <f t="shared" si="11"/>
        <v>0.47291499061410569</v>
      </c>
    </row>
    <row r="79" spans="3:7" ht="17" thickBot="1" x14ac:dyDescent="0.25">
      <c r="C79" s="592" t="s">
        <v>1869</v>
      </c>
      <c r="D79" s="595">
        <v>56830</v>
      </c>
      <c r="E79" s="595">
        <f t="shared" si="10"/>
        <v>62421</v>
      </c>
      <c r="F79" s="595">
        <f>SUM(F77:F78)</f>
        <v>119251</v>
      </c>
      <c r="G79" s="596">
        <f t="shared" si="11"/>
        <v>1.0983811367235616</v>
      </c>
    </row>
  </sheetData>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1"/>
  <sheetViews>
    <sheetView topLeftCell="D1" workbookViewId="0">
      <selection activeCell="K13" sqref="K13"/>
    </sheetView>
  </sheetViews>
  <sheetFormatPr baseColWidth="10" defaultRowHeight="16" x14ac:dyDescent="0.2"/>
  <cols>
    <col min="2" max="2" width="33.83203125" bestFit="1" customWidth="1"/>
    <col min="3" max="3" width="10.83203125" style="60"/>
    <col min="6" max="6" width="35.33203125" customWidth="1"/>
    <col min="7" max="7" width="22.83203125" customWidth="1"/>
  </cols>
  <sheetData>
    <row r="2" spans="1:11" ht="32" x14ac:dyDescent="0.2">
      <c r="A2">
        <v>1</v>
      </c>
      <c r="B2" t="s">
        <v>296</v>
      </c>
      <c r="C2" s="60">
        <v>1513</v>
      </c>
      <c r="E2" s="56"/>
      <c r="F2" s="472" t="s">
        <v>81</v>
      </c>
      <c r="G2" s="472" t="s">
        <v>512</v>
      </c>
      <c r="H2" s="472" t="s">
        <v>373</v>
      </c>
      <c r="I2" s="472" t="s">
        <v>371</v>
      </c>
      <c r="J2" s="472" t="s">
        <v>1856</v>
      </c>
      <c r="K2" s="443" t="s">
        <v>1865</v>
      </c>
    </row>
    <row r="3" spans="1:11" x14ac:dyDescent="0.2">
      <c r="A3">
        <v>1</v>
      </c>
      <c r="B3" t="s">
        <v>434</v>
      </c>
      <c r="C3" s="60">
        <v>984</v>
      </c>
      <c r="E3" s="56">
        <v>1</v>
      </c>
      <c r="F3" s="473" t="s">
        <v>1857</v>
      </c>
      <c r="G3" s="471" t="s">
        <v>1124</v>
      </c>
      <c r="H3" s="362">
        <v>242</v>
      </c>
      <c r="I3" s="362">
        <v>67</v>
      </c>
      <c r="J3" s="474">
        <v>861</v>
      </c>
    </row>
    <row r="4" spans="1:11" ht="32" x14ac:dyDescent="0.2">
      <c r="A4">
        <v>1</v>
      </c>
      <c r="B4" t="s">
        <v>178</v>
      </c>
      <c r="C4" s="60">
        <v>901</v>
      </c>
      <c r="E4" s="56">
        <v>2</v>
      </c>
      <c r="F4" s="473" t="s">
        <v>1867</v>
      </c>
      <c r="G4" s="471" t="s">
        <v>1862</v>
      </c>
      <c r="H4" s="362">
        <v>239</v>
      </c>
      <c r="I4" s="362">
        <v>75</v>
      </c>
      <c r="J4" s="474">
        <f>'Ward Analysis'!O24+'Ward Analysis'!O127</f>
        <v>569</v>
      </c>
      <c r="K4" s="444">
        <f>'Ward Analysis'!V24+'Ward Analysis'!V127</f>
        <v>329</v>
      </c>
    </row>
    <row r="5" spans="1:11" x14ac:dyDescent="0.2">
      <c r="A5">
        <v>1</v>
      </c>
      <c r="B5" t="s">
        <v>298</v>
      </c>
      <c r="C5" s="60">
        <v>888</v>
      </c>
      <c r="E5" s="56">
        <v>3</v>
      </c>
      <c r="F5" s="473" t="s">
        <v>1861</v>
      </c>
      <c r="G5" s="471" t="s">
        <v>816</v>
      </c>
      <c r="H5" s="362">
        <v>220</v>
      </c>
      <c r="I5" s="362">
        <v>68</v>
      </c>
      <c r="J5" s="474">
        <v>1284</v>
      </c>
    </row>
    <row r="6" spans="1:11" x14ac:dyDescent="0.2">
      <c r="A6">
        <v>1</v>
      </c>
      <c r="B6" t="s">
        <v>1503</v>
      </c>
      <c r="C6" s="60">
        <v>756</v>
      </c>
      <c r="E6" s="56">
        <v>4</v>
      </c>
      <c r="F6" s="473" t="s">
        <v>1858</v>
      </c>
      <c r="G6" s="471" t="s">
        <v>668</v>
      </c>
      <c r="H6" s="362">
        <v>218</v>
      </c>
      <c r="I6" s="362">
        <v>58</v>
      </c>
      <c r="J6" s="474">
        <v>575</v>
      </c>
    </row>
    <row r="7" spans="1:11" x14ac:dyDescent="0.2">
      <c r="A7">
        <v>1</v>
      </c>
      <c r="B7" t="s">
        <v>300</v>
      </c>
      <c r="C7" s="60">
        <v>737</v>
      </c>
      <c r="E7" s="56">
        <v>5</v>
      </c>
      <c r="F7" s="473" t="s">
        <v>376</v>
      </c>
      <c r="G7" s="471" t="s">
        <v>527</v>
      </c>
      <c r="H7" s="362">
        <v>213</v>
      </c>
      <c r="I7" s="362">
        <v>63</v>
      </c>
      <c r="J7" s="474">
        <v>685</v>
      </c>
    </row>
    <row r="8" spans="1:11" x14ac:dyDescent="0.2">
      <c r="A8">
        <v>1</v>
      </c>
      <c r="B8" t="s">
        <v>437</v>
      </c>
      <c r="C8" s="60">
        <v>685</v>
      </c>
      <c r="E8" s="56">
        <v>6</v>
      </c>
      <c r="F8" s="473" t="s">
        <v>1859</v>
      </c>
      <c r="G8" s="471" t="s">
        <v>668</v>
      </c>
      <c r="H8" s="362">
        <v>212</v>
      </c>
      <c r="I8" s="362">
        <v>57</v>
      </c>
      <c r="J8" s="474">
        <v>3600</v>
      </c>
    </row>
    <row r="9" spans="1:11" x14ac:dyDescent="0.2">
      <c r="A9">
        <v>1</v>
      </c>
      <c r="B9" t="s">
        <v>1136</v>
      </c>
      <c r="C9" s="60">
        <v>575</v>
      </c>
      <c r="E9" s="56">
        <v>7</v>
      </c>
      <c r="F9" s="56" t="s">
        <v>1860</v>
      </c>
      <c r="G9" s="471" t="s">
        <v>511</v>
      </c>
      <c r="H9" s="57">
        <v>148</v>
      </c>
      <c r="I9" s="57">
        <v>44</v>
      </c>
      <c r="J9" s="275">
        <f>1513+901</f>
        <v>2414</v>
      </c>
      <c r="K9" s="60">
        <f>'Ward Analysis'!V23+'Ward Analysis'!V28</f>
        <v>288</v>
      </c>
    </row>
    <row r="10" spans="1:11" x14ac:dyDescent="0.2">
      <c r="A10">
        <v>1</v>
      </c>
      <c r="B10" t="s">
        <v>435</v>
      </c>
      <c r="C10" s="60">
        <v>546</v>
      </c>
      <c r="E10" s="56">
        <v>8</v>
      </c>
      <c r="F10" s="473" t="s">
        <v>1864</v>
      </c>
      <c r="G10" s="471" t="s">
        <v>518</v>
      </c>
      <c r="H10" s="57"/>
      <c r="I10" s="57">
        <v>26</v>
      </c>
      <c r="J10" s="275">
        <v>1706</v>
      </c>
    </row>
    <row r="11" spans="1:11" x14ac:dyDescent="0.2">
      <c r="A11">
        <v>1</v>
      </c>
      <c r="B11" t="s">
        <v>1532</v>
      </c>
      <c r="C11" s="60">
        <v>500</v>
      </c>
      <c r="E11" s="56">
        <v>9</v>
      </c>
      <c r="F11" s="56" t="s">
        <v>1506</v>
      </c>
      <c r="G11" s="471" t="s">
        <v>518</v>
      </c>
      <c r="H11" s="362">
        <v>188</v>
      </c>
      <c r="I11" s="362">
        <v>55</v>
      </c>
      <c r="J11" s="275">
        <v>756</v>
      </c>
    </row>
    <row r="12" spans="1:11" x14ac:dyDescent="0.2">
      <c r="A12">
        <v>1</v>
      </c>
      <c r="B12" t="s">
        <v>1162</v>
      </c>
      <c r="C12" s="60">
        <v>484</v>
      </c>
      <c r="E12" s="56">
        <v>10</v>
      </c>
      <c r="F12" s="56" t="s">
        <v>300</v>
      </c>
      <c r="G12" s="471" t="s">
        <v>1863</v>
      </c>
      <c r="H12" s="57"/>
      <c r="I12" s="57">
        <v>30</v>
      </c>
      <c r="J12" s="275">
        <v>722</v>
      </c>
    </row>
    <row r="13" spans="1:11" x14ac:dyDescent="0.2">
      <c r="A13">
        <v>1</v>
      </c>
      <c r="B13" t="s">
        <v>1378</v>
      </c>
      <c r="C13" s="60">
        <v>450</v>
      </c>
      <c r="E13" s="56">
        <v>11</v>
      </c>
      <c r="F13" s="56" t="s">
        <v>1536</v>
      </c>
      <c r="G13" s="471" t="s">
        <v>1866</v>
      </c>
      <c r="H13" s="56"/>
      <c r="I13" s="56"/>
      <c r="J13" s="275">
        <v>1513</v>
      </c>
    </row>
    <row r="14" spans="1:11" x14ac:dyDescent="0.2">
      <c r="A14">
        <v>1</v>
      </c>
      <c r="B14" t="s">
        <v>113</v>
      </c>
      <c r="C14" s="60">
        <v>425</v>
      </c>
      <c r="E14" s="56">
        <v>12</v>
      </c>
      <c r="F14" s="56" t="s">
        <v>442</v>
      </c>
      <c r="G14" s="475" t="s">
        <v>1130</v>
      </c>
      <c r="H14" s="56">
        <v>87</v>
      </c>
      <c r="I14" s="56">
        <v>23</v>
      </c>
      <c r="J14" s="275">
        <v>850</v>
      </c>
    </row>
    <row r="15" spans="1:11" x14ac:dyDescent="0.2">
      <c r="A15">
        <v>1</v>
      </c>
      <c r="B15" t="s">
        <v>1533</v>
      </c>
      <c r="C15" s="60">
        <v>423</v>
      </c>
      <c r="J15" s="30"/>
    </row>
    <row r="16" spans="1:11" x14ac:dyDescent="0.2">
      <c r="A16">
        <v>1</v>
      </c>
      <c r="B16" t="s">
        <v>1337</v>
      </c>
      <c r="C16" s="60">
        <v>330</v>
      </c>
      <c r="H16">
        <v>850</v>
      </c>
      <c r="I16">
        <v>381</v>
      </c>
    </row>
    <row r="17" spans="1:10" x14ac:dyDescent="0.2">
      <c r="A17">
        <v>1</v>
      </c>
      <c r="B17" t="s">
        <v>451</v>
      </c>
      <c r="C17" s="60">
        <v>275</v>
      </c>
      <c r="J17" s="30"/>
    </row>
    <row r="18" spans="1:10" x14ac:dyDescent="0.2">
      <c r="A18">
        <v>1</v>
      </c>
      <c r="B18" t="s">
        <v>461</v>
      </c>
      <c r="C18" s="60">
        <v>132</v>
      </c>
    </row>
    <row r="19" spans="1:10" x14ac:dyDescent="0.2">
      <c r="A19">
        <v>1</v>
      </c>
      <c r="B19" t="s">
        <v>1339</v>
      </c>
      <c r="C19" s="60">
        <v>121</v>
      </c>
    </row>
    <row r="20" spans="1:10" x14ac:dyDescent="0.2">
      <c r="A20">
        <v>1</v>
      </c>
      <c r="B20" t="s">
        <v>1311</v>
      </c>
    </row>
    <row r="21" spans="1:10" x14ac:dyDescent="0.2">
      <c r="C21" s="137">
        <f>SUM(C2:C20)</f>
        <v>10725</v>
      </c>
    </row>
  </sheetData>
  <sortState ref="A2:C48">
    <sortCondition ref="A2:A48"/>
    <sortCondition descending="1" ref="C2:C48"/>
  </sortState>
  <pageMargins left="0.75" right="0.75" top="1" bottom="1" header="0.5" footer="0.5"/>
  <pageSetup paperSize="9" orientation="portrait" horizontalDpi="4294967292" verticalDpi="429496729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BZ226"/>
  <sheetViews>
    <sheetView showGridLines="0" topLeftCell="F1" workbookViewId="0">
      <pane ySplit="8" topLeftCell="A30" activePane="bottomLeft" state="frozenSplit"/>
      <selection activeCell="E30" sqref="E30"/>
      <selection pane="bottomLeft" activeCell="M1" sqref="M1:BY1048576"/>
    </sheetView>
  </sheetViews>
  <sheetFormatPr baseColWidth="10" defaultColWidth="11" defaultRowHeight="16" outlineLevelRow="1" x14ac:dyDescent="0.2"/>
  <cols>
    <col min="1" max="2" width="2.83203125" customWidth="1"/>
    <col min="3" max="3" width="46.6640625" customWidth="1"/>
    <col min="4" max="4" width="38.1640625" customWidth="1"/>
    <col min="5" max="5" width="5.1640625" customWidth="1"/>
    <col min="6" max="6" width="10.6640625" style="43" customWidth="1"/>
    <col min="7" max="8" width="9.83203125" customWidth="1"/>
    <col min="9" max="9" width="10.83203125" style="43" customWidth="1"/>
    <col min="10" max="10" width="18.5" customWidth="1"/>
    <col min="13" max="13" width="25.6640625" style="43" customWidth="1"/>
    <col min="14" max="14" width="39.33203125" style="268" customWidth="1"/>
    <col min="15" max="16" width="29.83203125" style="43" customWidth="1"/>
    <col min="17" max="17" width="17.5" style="364" customWidth="1"/>
    <col min="18" max="18" width="11" style="364"/>
    <col min="19" max="20" width="11" style="43"/>
    <col min="21" max="21" width="17.1640625" style="43" customWidth="1"/>
    <col min="22" max="22" width="15.83203125" style="43" customWidth="1"/>
    <col min="23" max="23" width="11" style="43"/>
    <col min="24" max="25" width="11" style="30"/>
    <col min="26" max="46" width="11" style="43"/>
    <col min="47" max="47" width="11.83203125" style="43" customWidth="1"/>
    <col min="48" max="48" width="12" style="43" customWidth="1"/>
    <col min="49" max="49" width="12.1640625" style="43" customWidth="1"/>
    <col min="50" max="50" width="13" style="43" customWidth="1"/>
    <col min="51" max="51" width="12.6640625" style="43" customWidth="1"/>
    <col min="52" max="52" width="12.5" style="43" customWidth="1"/>
    <col min="53" max="53" width="12.6640625" style="43" customWidth="1"/>
    <col min="54" max="67" width="11" style="30"/>
    <col min="68" max="69" width="11" style="43"/>
    <col min="70" max="70" width="14.1640625" style="372" customWidth="1"/>
    <col min="71" max="71" width="12.6640625" style="372" customWidth="1"/>
    <col min="72" max="77" width="11" style="43"/>
  </cols>
  <sheetData>
    <row r="1" spans="1:77" ht="24" x14ac:dyDescent="0.3">
      <c r="A1" s="119" t="s">
        <v>1303</v>
      </c>
    </row>
    <row r="2" spans="1:77" x14ac:dyDescent="0.2">
      <c r="A2" s="33" t="s">
        <v>432</v>
      </c>
    </row>
    <row r="3" spans="1:77" x14ac:dyDescent="0.2">
      <c r="F3"/>
      <c r="I3"/>
    </row>
    <row r="4" spans="1:77" x14ac:dyDescent="0.2">
      <c r="F4"/>
      <c r="I4"/>
    </row>
    <row r="5" spans="1:77" x14ac:dyDescent="0.2">
      <c r="F5"/>
      <c r="I5"/>
    </row>
    <row r="6" spans="1:77" x14ac:dyDescent="0.2">
      <c r="F6"/>
      <c r="I6"/>
    </row>
    <row r="7" spans="1:77" ht="49" x14ac:dyDescent="0.25">
      <c r="A7" s="49" t="s">
        <v>186</v>
      </c>
      <c r="AG7" s="363" t="s">
        <v>1444</v>
      </c>
      <c r="AH7" s="363" t="s">
        <v>1444</v>
      </c>
      <c r="AI7" s="363" t="s">
        <v>1444</v>
      </c>
      <c r="AJ7" s="363" t="s">
        <v>1444</v>
      </c>
      <c r="AK7" s="363" t="s">
        <v>1444</v>
      </c>
      <c r="AL7" s="363" t="s">
        <v>1444</v>
      </c>
      <c r="AM7" s="363" t="s">
        <v>1444</v>
      </c>
      <c r="AN7" s="363" t="s">
        <v>1443</v>
      </c>
      <c r="AO7" s="363" t="s">
        <v>1443</v>
      </c>
      <c r="AP7" s="363" t="s">
        <v>1443</v>
      </c>
      <c r="AQ7" s="363" t="s">
        <v>1443</v>
      </c>
      <c r="AR7" s="363" t="s">
        <v>1443</v>
      </c>
      <c r="AS7" s="363" t="s">
        <v>1443</v>
      </c>
      <c r="AT7" s="363" t="s">
        <v>1443</v>
      </c>
      <c r="AU7" s="363" t="s">
        <v>1442</v>
      </c>
      <c r="AV7" s="363" t="s">
        <v>1442</v>
      </c>
      <c r="AW7" s="363" t="s">
        <v>1442</v>
      </c>
      <c r="AX7" s="363" t="s">
        <v>1442</v>
      </c>
      <c r="AY7" s="363" t="s">
        <v>1442</v>
      </c>
      <c r="AZ7" s="363" t="s">
        <v>1442</v>
      </c>
      <c r="BA7" s="363" t="s">
        <v>1442</v>
      </c>
    </row>
    <row r="8" spans="1:77" ht="129" thickBot="1" x14ac:dyDescent="0.3">
      <c r="A8" s="51"/>
      <c r="B8" s="41"/>
      <c r="C8" t="s">
        <v>1552</v>
      </c>
      <c r="D8" s="38" t="s">
        <v>431</v>
      </c>
      <c r="E8" s="38" t="s">
        <v>1342</v>
      </c>
      <c r="F8" s="38" t="s">
        <v>430</v>
      </c>
      <c r="G8" s="38" t="s">
        <v>208</v>
      </c>
      <c r="H8" s="38" t="s">
        <v>510</v>
      </c>
      <c r="I8" s="38" t="s">
        <v>211</v>
      </c>
      <c r="J8" s="38" t="s">
        <v>512</v>
      </c>
      <c r="M8" s="348" t="s">
        <v>1489</v>
      </c>
      <c r="N8" s="348" t="s">
        <v>1488</v>
      </c>
      <c r="O8" s="348" t="s">
        <v>1487</v>
      </c>
      <c r="P8" s="348" t="s">
        <v>188</v>
      </c>
      <c r="Q8" s="365" t="s">
        <v>1486</v>
      </c>
      <c r="R8" s="365" t="s">
        <v>1485</v>
      </c>
      <c r="S8" s="348" t="s">
        <v>1484</v>
      </c>
      <c r="T8" s="348" t="s">
        <v>1483</v>
      </c>
      <c r="U8" s="348" t="s">
        <v>1553</v>
      </c>
      <c r="V8" s="348" t="s">
        <v>1554</v>
      </c>
      <c r="W8" s="348" t="s">
        <v>1408</v>
      </c>
      <c r="X8" s="370" t="s">
        <v>1482</v>
      </c>
      <c r="Y8" s="370" t="s">
        <v>1481</v>
      </c>
      <c r="Z8" s="348" t="s">
        <v>1256</v>
      </c>
      <c r="AA8" s="348" t="s">
        <v>1480</v>
      </c>
      <c r="AB8" s="348" t="s">
        <v>1479</v>
      </c>
      <c r="AC8" s="348" t="s">
        <v>1478</v>
      </c>
      <c r="AD8" s="348" t="s">
        <v>1477</v>
      </c>
      <c r="AE8" s="348" t="s">
        <v>1476</v>
      </c>
      <c r="AF8" s="348" t="s">
        <v>1497</v>
      </c>
      <c r="AG8" s="348" t="s">
        <v>1474</v>
      </c>
      <c r="AH8" s="348" t="s">
        <v>1473</v>
      </c>
      <c r="AI8" s="348" t="s">
        <v>1472</v>
      </c>
      <c r="AJ8" s="348" t="s">
        <v>1471</v>
      </c>
      <c r="AK8" s="348" t="s">
        <v>1470</v>
      </c>
      <c r="AL8" s="348" t="s">
        <v>1469</v>
      </c>
      <c r="AM8" s="348" t="s">
        <v>238</v>
      </c>
      <c r="AN8" s="348" t="s">
        <v>1474</v>
      </c>
      <c r="AO8" s="348" t="s">
        <v>1473</v>
      </c>
      <c r="AP8" s="348" t="s">
        <v>1472</v>
      </c>
      <c r="AQ8" s="348" t="s">
        <v>1471</v>
      </c>
      <c r="AR8" s="348" t="s">
        <v>1470</v>
      </c>
      <c r="AS8" s="348" t="s">
        <v>1469</v>
      </c>
      <c r="AT8" s="348" t="s">
        <v>238</v>
      </c>
      <c r="AU8" s="348" t="s">
        <v>1474</v>
      </c>
      <c r="AV8" s="348" t="s">
        <v>1473</v>
      </c>
      <c r="AW8" s="348" t="s">
        <v>1472</v>
      </c>
      <c r="AX8" s="348" t="s">
        <v>1471</v>
      </c>
      <c r="AY8" s="348" t="s">
        <v>1470</v>
      </c>
      <c r="AZ8" s="348" t="s">
        <v>1469</v>
      </c>
      <c r="BA8" s="348" t="s">
        <v>238</v>
      </c>
      <c r="BB8" s="370" t="s">
        <v>1468</v>
      </c>
      <c r="BC8" s="370" t="s">
        <v>1555</v>
      </c>
      <c r="BD8" s="370" t="s">
        <v>1556</v>
      </c>
      <c r="BE8" s="370" t="s">
        <v>1557</v>
      </c>
      <c r="BF8" s="370" t="s">
        <v>1558</v>
      </c>
      <c r="BG8" s="370" t="s">
        <v>1559</v>
      </c>
      <c r="BH8" s="370" t="s">
        <v>1560</v>
      </c>
      <c r="BI8" s="370" t="s">
        <v>1561</v>
      </c>
      <c r="BJ8" s="370" t="s">
        <v>1562</v>
      </c>
      <c r="BK8" s="370" t="s">
        <v>1563</v>
      </c>
      <c r="BL8" s="370" t="s">
        <v>1564</v>
      </c>
      <c r="BM8" s="370" t="s">
        <v>1565</v>
      </c>
      <c r="BN8" s="370" t="s">
        <v>1467</v>
      </c>
      <c r="BO8" s="370" t="s">
        <v>1466</v>
      </c>
      <c r="BP8" s="348" t="s">
        <v>1465</v>
      </c>
      <c r="BQ8" s="348" t="s">
        <v>1464</v>
      </c>
      <c r="BR8" s="373" t="s">
        <v>1498</v>
      </c>
      <c r="BS8" s="373" t="s">
        <v>1462</v>
      </c>
      <c r="BT8" s="377" t="s">
        <v>512</v>
      </c>
      <c r="BU8" s="377" t="s">
        <v>578</v>
      </c>
      <c r="BV8" s="377" t="s">
        <v>1461</v>
      </c>
      <c r="BW8" s="348" t="s">
        <v>1460</v>
      </c>
      <c r="BX8" s="377" t="s">
        <v>1499</v>
      </c>
      <c r="BY8" s="377" t="s">
        <v>1458</v>
      </c>
    </row>
    <row r="9" spans="1:77" s="39" customFormat="1" ht="6" customHeight="1" x14ac:dyDescent="0.25">
      <c r="A9" s="52"/>
      <c r="B9" s="42"/>
      <c r="F9" s="242"/>
      <c r="I9" s="40"/>
      <c r="M9" s="242"/>
      <c r="N9" s="361"/>
      <c r="O9" s="242"/>
      <c r="P9" s="242"/>
      <c r="Q9" s="366"/>
      <c r="R9" s="366"/>
      <c r="S9" s="242"/>
      <c r="T9" s="242"/>
      <c r="U9" s="242"/>
      <c r="V9" s="242"/>
      <c r="W9" s="242"/>
      <c r="X9" s="371"/>
      <c r="Y9" s="371"/>
      <c r="Z9" s="242"/>
      <c r="AA9" s="242"/>
      <c r="AB9" s="242"/>
      <c r="AC9" s="242"/>
      <c r="AD9" s="242"/>
      <c r="AE9" s="242"/>
      <c r="AF9" s="242"/>
      <c r="AG9" s="242"/>
      <c r="AH9" s="242"/>
      <c r="AI9" s="242"/>
      <c r="AJ9" s="242"/>
      <c r="AK9" s="242"/>
      <c r="AL9" s="242"/>
      <c r="AM9" s="43"/>
      <c r="AN9" s="242"/>
      <c r="AO9" s="242"/>
      <c r="AP9" s="242"/>
      <c r="AQ9" s="242"/>
      <c r="AR9" s="242"/>
      <c r="AS9" s="242"/>
      <c r="AT9" s="242"/>
      <c r="AU9" s="242"/>
      <c r="AV9" s="242"/>
      <c r="AW9" s="242"/>
      <c r="AX9" s="242"/>
      <c r="AY9" s="242"/>
      <c r="AZ9" s="242"/>
      <c r="BA9" s="242"/>
      <c r="BB9" s="371"/>
      <c r="BC9" s="371"/>
      <c r="BD9" s="371"/>
      <c r="BE9" s="371"/>
      <c r="BF9" s="371"/>
      <c r="BG9" s="371"/>
      <c r="BH9" s="371"/>
      <c r="BI9" s="371"/>
      <c r="BJ9" s="371"/>
      <c r="BK9" s="371"/>
      <c r="BL9" s="371"/>
      <c r="BM9" s="371"/>
      <c r="BN9" s="371"/>
      <c r="BO9" s="371"/>
      <c r="BP9" s="242"/>
      <c r="BQ9" s="242"/>
      <c r="BR9" s="374"/>
      <c r="BS9" s="374"/>
      <c r="BT9" s="242"/>
      <c r="BU9" s="242"/>
      <c r="BV9" s="242"/>
      <c r="BW9" s="242"/>
      <c r="BX9" s="242"/>
      <c r="BY9" s="242"/>
    </row>
    <row r="10" spans="1:77" s="56" customFormat="1" ht="29" customHeight="1" outlineLevel="1" x14ac:dyDescent="0.2">
      <c r="A10" s="54"/>
      <c r="B10" s="120" t="s">
        <v>204</v>
      </c>
      <c r="F10" s="57"/>
      <c r="H10" s="191"/>
      <c r="I10" s="121">
        <v>6166</v>
      </c>
      <c r="M10" s="57"/>
      <c r="N10" s="362"/>
      <c r="O10" s="57"/>
      <c r="P10" s="57"/>
      <c r="Q10" s="367"/>
      <c r="R10" s="367"/>
      <c r="S10" s="57"/>
      <c r="T10" s="57"/>
      <c r="U10" s="57"/>
      <c r="V10" s="57"/>
      <c r="W10" s="57"/>
      <c r="X10" s="275"/>
      <c r="Y10" s="275"/>
      <c r="Z10" s="57"/>
      <c r="AA10" s="57"/>
      <c r="AB10" s="57"/>
      <c r="AC10" s="57"/>
      <c r="AD10" s="57"/>
      <c r="AE10" s="57"/>
      <c r="AF10" s="57"/>
      <c r="AG10" s="57"/>
      <c r="AH10" s="57"/>
      <c r="AI10" s="57"/>
      <c r="AJ10" s="57"/>
      <c r="AK10" s="57"/>
      <c r="AL10" s="57"/>
      <c r="AM10" s="43"/>
      <c r="AN10" s="57"/>
      <c r="AO10" s="57"/>
      <c r="AP10" s="57"/>
      <c r="AQ10" s="57"/>
      <c r="AR10" s="57"/>
      <c r="AS10" s="57"/>
      <c r="AT10" s="57"/>
      <c r="AU10" s="57"/>
      <c r="AV10" s="57"/>
      <c r="AW10" s="57"/>
      <c r="AX10" s="57"/>
      <c r="AY10" s="57"/>
      <c r="AZ10" s="57"/>
      <c r="BA10" s="57"/>
      <c r="BB10" s="275"/>
      <c r="BC10" s="275"/>
      <c r="BD10" s="275"/>
      <c r="BE10" s="275"/>
      <c r="BF10" s="275"/>
      <c r="BG10" s="275"/>
      <c r="BH10" s="275"/>
      <c r="BI10" s="275"/>
      <c r="BJ10" s="275"/>
      <c r="BK10" s="275"/>
      <c r="BL10" s="275"/>
      <c r="BM10" s="275"/>
      <c r="BN10" s="275"/>
      <c r="BO10" s="275"/>
      <c r="BP10" s="57"/>
      <c r="BQ10" s="57"/>
      <c r="BR10" s="375"/>
      <c r="BS10" s="375"/>
      <c r="BT10" s="57"/>
      <c r="BU10" s="57"/>
      <c r="BV10" s="57"/>
      <c r="BW10" s="57"/>
      <c r="BX10" s="57"/>
      <c r="BY10" s="57"/>
    </row>
    <row r="11" spans="1:77" ht="6" customHeight="1" outlineLevel="1" x14ac:dyDescent="0.25">
      <c r="A11" s="51"/>
      <c r="B11" s="41"/>
      <c r="H11" s="60"/>
      <c r="I11" s="30"/>
      <c r="J11" s="39"/>
      <c r="K11" s="39"/>
      <c r="L11" s="39"/>
      <c r="M11" s="242"/>
      <c r="N11" s="361"/>
    </row>
    <row r="12" spans="1:77" ht="21" outlineLevel="1" x14ac:dyDescent="0.25">
      <c r="A12" s="51"/>
      <c r="B12" s="32" t="s">
        <v>187</v>
      </c>
      <c r="H12" s="60"/>
      <c r="I12" s="30"/>
      <c r="J12" s="56"/>
      <c r="K12" s="56"/>
      <c r="L12" s="56"/>
      <c r="M12" s="57"/>
      <c r="N12" s="362"/>
    </row>
    <row r="13" spans="1:77" ht="21" outlineLevel="1" x14ac:dyDescent="0.25">
      <c r="A13" s="51"/>
      <c r="B13" s="32"/>
      <c r="C13" t="s">
        <v>530</v>
      </c>
      <c r="D13" t="s">
        <v>467</v>
      </c>
      <c r="E13" t="s">
        <v>1119</v>
      </c>
      <c r="H13" s="60"/>
      <c r="I13" s="30">
        <v>56</v>
      </c>
      <c r="J13" s="39"/>
      <c r="K13" s="56"/>
      <c r="L13" s="39"/>
      <c r="M13" s="242"/>
      <c r="N13" s="361"/>
      <c r="AM13" s="43">
        <f t="shared" ref="AM13:AM44" si="0">SUM(AG13:AL13)</f>
        <v>0</v>
      </c>
      <c r="AT13" s="43">
        <f t="shared" ref="AT13:AT15" si="1">SUM(AN13:AS13)</f>
        <v>0</v>
      </c>
      <c r="BA13" s="43">
        <f t="shared" ref="BA13:BA44" si="2">SUM(AU13:AZ13)</f>
        <v>0</v>
      </c>
    </row>
    <row r="14" spans="1:77" ht="21" outlineLevel="1" x14ac:dyDescent="0.25">
      <c r="A14" s="51"/>
      <c r="B14" s="32"/>
      <c r="C14" t="s">
        <v>469</v>
      </c>
      <c r="D14" t="s">
        <v>471</v>
      </c>
      <c r="E14" t="s">
        <v>1119</v>
      </c>
      <c r="F14" s="43" t="s">
        <v>574</v>
      </c>
      <c r="G14" s="43">
        <v>48</v>
      </c>
      <c r="H14" s="30"/>
      <c r="I14" s="30">
        <f>430+356</f>
        <v>786</v>
      </c>
      <c r="J14" s="56"/>
      <c r="K14" s="56"/>
      <c r="L14" s="56"/>
      <c r="M14" s="57"/>
      <c r="N14" s="362"/>
      <c r="AM14" s="43">
        <f t="shared" si="0"/>
        <v>0</v>
      </c>
      <c r="AT14" s="43">
        <f t="shared" si="1"/>
        <v>0</v>
      </c>
      <c r="BA14" s="43">
        <f t="shared" si="2"/>
        <v>0</v>
      </c>
      <c r="BB14" s="30">
        <f t="shared" ref="BB14:BB16" si="3">SUM(AM14+AT14+BA14)</f>
        <v>0</v>
      </c>
    </row>
    <row r="15" spans="1:77" ht="21" outlineLevel="1" x14ac:dyDescent="0.25">
      <c r="A15" s="51"/>
      <c r="B15" s="32"/>
      <c r="C15" t="s">
        <v>470</v>
      </c>
      <c r="D15" t="s">
        <v>468</v>
      </c>
      <c r="E15" t="s">
        <v>1119</v>
      </c>
      <c r="F15" s="43" t="s">
        <v>573</v>
      </c>
      <c r="G15" s="43">
        <v>45</v>
      </c>
      <c r="H15" s="30"/>
      <c r="I15" s="30">
        <v>804</v>
      </c>
      <c r="J15" s="39"/>
      <c r="K15" s="56"/>
      <c r="L15" s="39"/>
      <c r="M15" s="242"/>
      <c r="N15" s="361"/>
      <c r="AM15" s="43">
        <f t="shared" si="0"/>
        <v>0</v>
      </c>
      <c r="AT15" s="43">
        <f t="shared" si="1"/>
        <v>0</v>
      </c>
      <c r="BA15" s="43">
        <f t="shared" si="2"/>
        <v>0</v>
      </c>
      <c r="BB15" s="30">
        <f t="shared" si="3"/>
        <v>0</v>
      </c>
    </row>
    <row r="16" spans="1:77" ht="21" outlineLevel="1" x14ac:dyDescent="0.25">
      <c r="A16" s="51"/>
      <c r="B16" s="32"/>
      <c r="C16" t="s">
        <v>1297</v>
      </c>
      <c r="D16" t="s">
        <v>1301</v>
      </c>
      <c r="E16" t="s">
        <v>1119</v>
      </c>
      <c r="H16" s="60"/>
      <c r="I16" s="30">
        <v>300</v>
      </c>
      <c r="J16" s="56"/>
      <c r="K16" s="426"/>
      <c r="L16" s="56"/>
      <c r="M16" s="57"/>
      <c r="N16" s="362"/>
      <c r="AM16" s="43">
        <f t="shared" si="0"/>
        <v>0</v>
      </c>
      <c r="AT16" s="43">
        <f>SUM(AN16:AS16)</f>
        <v>0</v>
      </c>
      <c r="BA16" s="43">
        <f t="shared" si="2"/>
        <v>0</v>
      </c>
      <c r="BB16" s="30">
        <f t="shared" si="3"/>
        <v>0</v>
      </c>
    </row>
    <row r="17" spans="1:78" ht="6" customHeight="1" outlineLevel="1" x14ac:dyDescent="0.25">
      <c r="A17" s="51"/>
      <c r="B17" s="32"/>
      <c r="H17" s="60"/>
      <c r="I17" s="30"/>
      <c r="J17" s="39"/>
      <c r="K17" s="56"/>
      <c r="L17" s="39"/>
      <c r="M17" s="242"/>
      <c r="N17" s="361"/>
    </row>
    <row r="18" spans="1:78" s="56" customFormat="1" ht="21" outlineLevel="1" x14ac:dyDescent="0.2">
      <c r="A18" s="54"/>
      <c r="B18" s="67" t="s">
        <v>215</v>
      </c>
      <c r="C18" s="55"/>
      <c r="D18" s="55"/>
      <c r="E18" s="55"/>
      <c r="F18" s="243"/>
      <c r="H18" s="156"/>
      <c r="I18" s="156"/>
      <c r="M18" s="57"/>
      <c r="N18" s="362"/>
      <c r="O18" s="57"/>
      <c r="P18" s="57"/>
      <c r="Q18" s="367"/>
      <c r="R18" s="367"/>
      <c r="S18" s="57"/>
      <c r="T18" s="57"/>
      <c r="U18" s="57"/>
      <c r="V18" s="57"/>
      <c r="W18" s="57"/>
      <c r="X18" s="275"/>
      <c r="Y18" s="275"/>
      <c r="Z18" s="57"/>
      <c r="AA18" s="57"/>
      <c r="AB18" s="57"/>
      <c r="AC18" s="57"/>
      <c r="AD18" s="57"/>
      <c r="AE18" s="57"/>
      <c r="AF18" s="57"/>
      <c r="AG18" s="57"/>
      <c r="AH18" s="57"/>
      <c r="AI18" s="57"/>
      <c r="AJ18" s="57"/>
      <c r="AK18" s="57"/>
      <c r="AL18" s="57"/>
      <c r="AM18" s="43"/>
      <c r="AN18" s="57"/>
      <c r="AO18" s="57"/>
      <c r="AP18" s="57"/>
      <c r="AQ18" s="57"/>
      <c r="AR18" s="57"/>
      <c r="AS18" s="57"/>
      <c r="AT18" s="43"/>
      <c r="AU18" s="57"/>
      <c r="AV18" s="57"/>
      <c r="AW18" s="57"/>
      <c r="AX18" s="57"/>
      <c r="AY18" s="57"/>
      <c r="AZ18" s="57"/>
      <c r="BA18" s="43"/>
      <c r="BB18" s="30"/>
      <c r="BC18" s="30"/>
      <c r="BD18" s="30"/>
      <c r="BE18" s="30"/>
      <c r="BF18" s="30"/>
      <c r="BG18" s="30"/>
      <c r="BH18" s="30"/>
      <c r="BI18" s="30"/>
      <c r="BJ18" s="30"/>
      <c r="BK18" s="30"/>
      <c r="BL18" s="30"/>
      <c r="BM18" s="30"/>
      <c r="BN18" s="275"/>
      <c r="BO18" s="275"/>
      <c r="BP18" s="57"/>
      <c r="BQ18" s="57"/>
      <c r="BR18" s="375"/>
      <c r="BS18" s="375"/>
      <c r="BT18" s="57"/>
      <c r="BU18" s="57"/>
      <c r="BV18" s="57"/>
      <c r="BW18" s="57"/>
      <c r="BX18" s="57"/>
      <c r="BY18" s="57"/>
    </row>
    <row r="19" spans="1:78" ht="16" customHeight="1" outlineLevel="1" x14ac:dyDescent="0.25">
      <c r="A19" s="51"/>
      <c r="B19" s="32"/>
      <c r="C19" s="175" t="s">
        <v>296</v>
      </c>
      <c r="D19" t="s">
        <v>1298</v>
      </c>
      <c r="G19" s="43">
        <v>44</v>
      </c>
      <c r="H19" s="30">
        <v>1875</v>
      </c>
      <c r="I19" s="30">
        <v>1500</v>
      </c>
      <c r="J19" s="39" t="s">
        <v>511</v>
      </c>
      <c r="K19" s="56"/>
      <c r="L19" s="311"/>
      <c r="M19" s="242" t="s">
        <v>1427</v>
      </c>
      <c r="N19" s="361" t="s">
        <v>1496</v>
      </c>
      <c r="O19" s="43" t="s">
        <v>1426</v>
      </c>
      <c r="P19" s="43" t="s">
        <v>24</v>
      </c>
      <c r="Q19" s="364">
        <v>42159</v>
      </c>
      <c r="R19" s="364">
        <v>42206</v>
      </c>
      <c r="S19" s="268" t="s">
        <v>1425</v>
      </c>
      <c r="T19" s="43" t="s">
        <v>1424</v>
      </c>
      <c r="U19" s="268" t="s">
        <v>1566</v>
      </c>
      <c r="V19" s="268" t="s">
        <v>1567</v>
      </c>
      <c r="W19" s="43">
        <v>2.58</v>
      </c>
      <c r="X19" s="30">
        <v>647</v>
      </c>
      <c r="Y19" s="30">
        <v>1785</v>
      </c>
      <c r="Z19" s="43" t="s">
        <v>1568</v>
      </c>
      <c r="AA19" s="43">
        <v>507</v>
      </c>
      <c r="AB19" s="43">
        <v>450</v>
      </c>
      <c r="AC19" s="43">
        <v>178</v>
      </c>
      <c r="AD19" s="43">
        <v>183</v>
      </c>
      <c r="AE19" s="43">
        <v>89</v>
      </c>
      <c r="AF19" s="43">
        <v>5068</v>
      </c>
      <c r="AG19" s="43">
        <v>153</v>
      </c>
      <c r="AH19" s="43">
        <v>367</v>
      </c>
      <c r="AI19" s="43">
        <v>471</v>
      </c>
      <c r="AJ19" s="43">
        <v>181</v>
      </c>
      <c r="AK19" s="43">
        <v>3</v>
      </c>
      <c r="AL19" s="43">
        <v>0</v>
      </c>
      <c r="AM19" s="43">
        <f t="shared" si="0"/>
        <v>1175</v>
      </c>
      <c r="AN19" s="43">
        <v>0</v>
      </c>
      <c r="AO19" s="43">
        <v>32</v>
      </c>
      <c r="AP19" s="43">
        <v>52</v>
      </c>
      <c r="AQ19" s="43">
        <v>146</v>
      </c>
      <c r="AR19" s="43">
        <v>10</v>
      </c>
      <c r="AS19" s="43">
        <v>0</v>
      </c>
      <c r="AT19" s="43">
        <f>SUM(AN19:AS19)</f>
        <v>240</v>
      </c>
      <c r="AU19" s="43">
        <v>1</v>
      </c>
      <c r="AV19" s="43">
        <v>23</v>
      </c>
      <c r="AW19" s="43">
        <v>42</v>
      </c>
      <c r="AX19" s="43">
        <v>19</v>
      </c>
      <c r="AY19" s="43">
        <v>0</v>
      </c>
      <c r="AZ19" s="43">
        <v>0</v>
      </c>
      <c r="BA19" s="43">
        <f>SUM(AU19:AZ19)</f>
        <v>85</v>
      </c>
      <c r="BB19" s="30">
        <f>SUM(AM19+AT19+BA19)</f>
        <v>1500</v>
      </c>
      <c r="BN19" s="30">
        <v>244</v>
      </c>
      <c r="BO19" s="30">
        <v>3304</v>
      </c>
      <c r="BP19" s="43">
        <v>146.6</v>
      </c>
      <c r="BQ19" s="43">
        <v>45</v>
      </c>
      <c r="BR19" s="372">
        <v>890325</v>
      </c>
      <c r="BW19" s="425" t="s">
        <v>1429</v>
      </c>
    </row>
    <row r="20" spans="1:78" ht="16" customHeight="1" outlineLevel="1" x14ac:dyDescent="0.25">
      <c r="A20" s="51"/>
      <c r="B20" s="31"/>
      <c r="C20" t="s">
        <v>1263</v>
      </c>
      <c r="D20" t="s">
        <v>465</v>
      </c>
      <c r="G20" s="43" t="s">
        <v>11</v>
      </c>
      <c r="H20" s="153"/>
      <c r="I20" s="30">
        <f>3467-769</f>
        <v>2698</v>
      </c>
      <c r="J20" t="s">
        <v>1299</v>
      </c>
      <c r="L20" s="311"/>
      <c r="AM20" s="43">
        <f t="shared" si="0"/>
        <v>0</v>
      </c>
      <c r="AT20" s="43">
        <f t="shared" ref="AT20:AT43" si="4">SUM(AN20:AS20)</f>
        <v>0</v>
      </c>
      <c r="BA20" s="43">
        <f t="shared" si="2"/>
        <v>0</v>
      </c>
      <c r="BB20" s="30">
        <f t="shared" ref="BB20:BB43" si="5">SUM(AM20+AT20+BA20)</f>
        <v>0</v>
      </c>
    </row>
    <row r="21" spans="1:78" ht="16" customHeight="1" outlineLevel="1" x14ac:dyDescent="0.25">
      <c r="A21" s="51"/>
      <c r="B21" s="32"/>
      <c r="C21" s="175" t="s">
        <v>434</v>
      </c>
      <c r="D21" t="s">
        <v>1306</v>
      </c>
      <c r="E21" t="s">
        <v>1119</v>
      </c>
      <c r="F21" s="43" t="s">
        <v>493</v>
      </c>
      <c r="G21" s="43">
        <v>75</v>
      </c>
      <c r="H21" s="30">
        <v>5803</v>
      </c>
      <c r="I21" s="30">
        <v>984</v>
      </c>
      <c r="J21" s="56" t="s">
        <v>516</v>
      </c>
      <c r="K21" s="56"/>
      <c r="L21" s="311"/>
      <c r="M21" s="57" t="s">
        <v>1569</v>
      </c>
      <c r="N21" s="362" t="s">
        <v>1570</v>
      </c>
      <c r="O21" s="43" t="s">
        <v>1571</v>
      </c>
      <c r="P21" s="43" t="s">
        <v>1572</v>
      </c>
      <c r="Q21" s="364" t="s">
        <v>1573</v>
      </c>
      <c r="R21" s="364">
        <v>41473</v>
      </c>
      <c r="S21" s="362" t="s">
        <v>1570</v>
      </c>
      <c r="T21" s="43" t="s">
        <v>57</v>
      </c>
      <c r="U21" s="268" t="s">
        <v>1574</v>
      </c>
      <c r="V21" s="268" t="s">
        <v>1575</v>
      </c>
      <c r="W21" s="43">
        <v>0.28000000000000003</v>
      </c>
      <c r="X21" s="30">
        <v>2935</v>
      </c>
      <c r="Y21" s="30">
        <v>5803</v>
      </c>
      <c r="Z21" s="43">
        <v>5</v>
      </c>
      <c r="AA21" s="43" t="s">
        <v>1576</v>
      </c>
      <c r="AB21" s="43" t="s">
        <v>1576</v>
      </c>
      <c r="AC21" s="43" t="s">
        <v>1576</v>
      </c>
      <c r="AD21" s="43" t="s">
        <v>1576</v>
      </c>
      <c r="AE21" s="43" t="s">
        <v>1576</v>
      </c>
      <c r="AF21" s="43" t="s">
        <v>1576</v>
      </c>
      <c r="AG21" s="43">
        <v>176</v>
      </c>
      <c r="AH21" s="43">
        <v>324</v>
      </c>
      <c r="AI21" s="43">
        <v>212</v>
      </c>
      <c r="AJ21" s="43">
        <v>36</v>
      </c>
      <c r="AK21" s="43">
        <v>4</v>
      </c>
      <c r="AL21" s="43">
        <v>0</v>
      </c>
      <c r="AM21" s="43">
        <f t="shared" si="0"/>
        <v>752</v>
      </c>
      <c r="AN21" s="43">
        <v>0</v>
      </c>
      <c r="AO21" s="43">
        <v>11</v>
      </c>
      <c r="AP21" s="43">
        <v>22</v>
      </c>
      <c r="AQ21" s="43">
        <v>73</v>
      </c>
      <c r="AR21" s="43">
        <v>26</v>
      </c>
      <c r="AS21" s="43">
        <v>10</v>
      </c>
      <c r="AT21" s="43">
        <f t="shared" si="4"/>
        <v>142</v>
      </c>
      <c r="AU21" s="43">
        <v>2</v>
      </c>
      <c r="AV21" s="43">
        <v>45</v>
      </c>
      <c r="AW21" s="43">
        <v>50</v>
      </c>
      <c r="AX21" s="43">
        <v>4</v>
      </c>
      <c r="AY21" s="43">
        <v>0</v>
      </c>
      <c r="AZ21" s="43">
        <v>0</v>
      </c>
      <c r="BA21" s="43">
        <f t="shared" si="2"/>
        <v>101</v>
      </c>
      <c r="BB21" s="30">
        <f t="shared" si="5"/>
        <v>995</v>
      </c>
      <c r="BN21" s="30">
        <v>40</v>
      </c>
      <c r="BO21" s="30">
        <v>904</v>
      </c>
      <c r="BP21" s="43">
        <v>239</v>
      </c>
      <c r="BQ21" s="43">
        <v>75</v>
      </c>
      <c r="BR21" s="372" t="s">
        <v>1577</v>
      </c>
      <c r="BS21" s="372" t="s">
        <v>1578</v>
      </c>
      <c r="BW21" s="425" t="s">
        <v>1579</v>
      </c>
      <c r="BZ21" t="s">
        <v>1579</v>
      </c>
    </row>
    <row r="22" spans="1:78" ht="16" customHeight="1" outlineLevel="1" x14ac:dyDescent="0.25">
      <c r="A22" s="51"/>
      <c r="B22" s="32"/>
      <c r="C22" s="427" t="s">
        <v>302</v>
      </c>
      <c r="D22" s="428" t="s">
        <v>1307</v>
      </c>
      <c r="E22" s="173"/>
      <c r="F22" s="63" t="s">
        <v>492</v>
      </c>
      <c r="G22" s="63">
        <v>67</v>
      </c>
      <c r="H22" s="183"/>
      <c r="I22" s="45">
        <v>900</v>
      </c>
      <c r="J22" s="56" t="s">
        <v>1124</v>
      </c>
      <c r="K22" s="56"/>
      <c r="L22" s="311"/>
      <c r="M22" s="57"/>
      <c r="N22" s="362"/>
      <c r="AM22" s="43">
        <f t="shared" si="0"/>
        <v>0</v>
      </c>
      <c r="AT22" s="43">
        <f t="shared" si="4"/>
        <v>0</v>
      </c>
      <c r="BA22" s="43">
        <f t="shared" si="2"/>
        <v>0</v>
      </c>
      <c r="BB22" s="30">
        <f t="shared" si="5"/>
        <v>0</v>
      </c>
    </row>
    <row r="23" spans="1:78" ht="16" customHeight="1" outlineLevel="1" x14ac:dyDescent="0.25">
      <c r="A23" s="51"/>
      <c r="B23" s="32"/>
      <c r="C23" s="175" t="s">
        <v>298</v>
      </c>
      <c r="D23" t="s">
        <v>1276</v>
      </c>
      <c r="E23" t="s">
        <v>1119</v>
      </c>
      <c r="F23" s="43" t="s">
        <v>1153</v>
      </c>
      <c r="G23" s="43">
        <v>68</v>
      </c>
      <c r="H23" s="30">
        <v>2140</v>
      </c>
      <c r="I23" s="30">
        <v>888</v>
      </c>
      <c r="J23" s="39" t="s">
        <v>520</v>
      </c>
      <c r="K23" s="56"/>
      <c r="L23" s="311"/>
      <c r="M23" s="43" t="s">
        <v>1580</v>
      </c>
      <c r="N23" s="268" t="s">
        <v>1581</v>
      </c>
      <c r="O23" s="43" t="s">
        <v>1426</v>
      </c>
      <c r="P23" s="43" t="s">
        <v>24</v>
      </c>
      <c r="Q23" s="364">
        <v>41949</v>
      </c>
      <c r="R23" s="364">
        <v>41949</v>
      </c>
      <c r="S23" s="268" t="s">
        <v>1581</v>
      </c>
      <c r="T23" s="43" t="s">
        <v>1424</v>
      </c>
      <c r="U23" s="268" t="s">
        <v>1582</v>
      </c>
      <c r="V23" s="268" t="s">
        <v>1582</v>
      </c>
      <c r="W23" s="43">
        <v>1.32</v>
      </c>
      <c r="X23" s="30">
        <v>672</v>
      </c>
      <c r="Y23" s="30">
        <v>1743</v>
      </c>
      <c r="Z23" s="43">
        <v>4</v>
      </c>
      <c r="AA23" s="43">
        <v>227</v>
      </c>
      <c r="AB23" s="43">
        <v>200</v>
      </c>
      <c r="AC23" s="43">
        <v>80</v>
      </c>
      <c r="AD23" s="43">
        <v>83</v>
      </c>
      <c r="AE23" s="43">
        <v>38</v>
      </c>
      <c r="AF23" s="43">
        <v>1805</v>
      </c>
      <c r="AG23" s="43">
        <v>57</v>
      </c>
      <c r="AH23" s="43">
        <v>329</v>
      </c>
      <c r="AI23" s="43">
        <v>241</v>
      </c>
      <c r="AJ23" s="43">
        <v>73</v>
      </c>
      <c r="AK23" s="43">
        <v>0</v>
      </c>
      <c r="AL23" s="43">
        <v>0</v>
      </c>
      <c r="AM23" s="43">
        <f>SUM(AG23:AL23)</f>
        <v>700</v>
      </c>
      <c r="AN23" s="43">
        <v>0</v>
      </c>
      <c r="AO23" s="43">
        <v>24</v>
      </c>
      <c r="AP23" s="43">
        <v>34</v>
      </c>
      <c r="AQ23" s="43">
        <v>30</v>
      </c>
      <c r="AR23" s="43">
        <v>22</v>
      </c>
      <c r="AS23" s="43">
        <v>0</v>
      </c>
      <c r="AT23" s="43">
        <f>SUM(AN23:AS23)</f>
        <v>110</v>
      </c>
      <c r="AU23" s="43">
        <v>13</v>
      </c>
      <c r="AV23" s="43">
        <v>39</v>
      </c>
      <c r="AW23" s="43">
        <v>26</v>
      </c>
      <c r="AX23" s="43">
        <v>0</v>
      </c>
      <c r="AY23" s="43">
        <v>0</v>
      </c>
      <c r="AZ23" s="43">
        <v>0</v>
      </c>
      <c r="BA23" s="43">
        <f>SUM(AU23:AZ23)</f>
        <v>78</v>
      </c>
      <c r="BB23" s="30">
        <f>SUM(AM23+AT23+BA23)</f>
        <v>888</v>
      </c>
      <c r="BN23" s="30">
        <v>141</v>
      </c>
      <c r="BO23" s="30">
        <v>1488</v>
      </c>
      <c r="BP23" s="43">
        <v>220</v>
      </c>
      <c r="BQ23" s="43">
        <v>68</v>
      </c>
      <c r="BR23" s="372" t="s">
        <v>1583</v>
      </c>
      <c r="BS23" s="372" t="s">
        <v>1584</v>
      </c>
      <c r="BW23" s="425" t="s">
        <v>1585</v>
      </c>
    </row>
    <row r="24" spans="1:78" ht="16" customHeight="1" outlineLevel="1" x14ac:dyDescent="0.25">
      <c r="A24" s="51"/>
      <c r="B24" s="32"/>
      <c r="C24" s="175" t="s">
        <v>1378</v>
      </c>
      <c r="D24" t="s">
        <v>1308</v>
      </c>
      <c r="F24" s="43" t="s">
        <v>1267</v>
      </c>
      <c r="G24" s="43" t="s">
        <v>1268</v>
      </c>
      <c r="H24" s="30"/>
      <c r="I24" s="30">
        <v>450</v>
      </c>
      <c r="J24" s="39" t="s">
        <v>520</v>
      </c>
      <c r="K24" s="56"/>
      <c r="L24" s="311"/>
      <c r="M24" s="242"/>
      <c r="N24" s="361"/>
      <c r="AM24" s="43">
        <f t="shared" si="0"/>
        <v>0</v>
      </c>
      <c r="AT24" s="43">
        <f t="shared" si="4"/>
        <v>0</v>
      </c>
      <c r="BA24" s="43">
        <f t="shared" si="2"/>
        <v>0</v>
      </c>
      <c r="BB24" s="30">
        <f t="shared" si="5"/>
        <v>0</v>
      </c>
    </row>
    <row r="25" spans="1:78" ht="16" customHeight="1" outlineLevel="1" x14ac:dyDescent="0.25">
      <c r="A25" s="51"/>
      <c r="B25" s="32"/>
      <c r="C25" s="175" t="s">
        <v>178</v>
      </c>
      <c r="D25" t="s">
        <v>1277</v>
      </c>
      <c r="E25" t="s">
        <v>1119</v>
      </c>
      <c r="F25" s="43" t="s">
        <v>526</v>
      </c>
      <c r="G25" s="43">
        <v>42</v>
      </c>
      <c r="H25" s="30">
        <v>2492</v>
      </c>
      <c r="I25" s="30">
        <v>901</v>
      </c>
      <c r="J25" s="56" t="s">
        <v>529</v>
      </c>
      <c r="K25" s="429"/>
      <c r="L25" s="311"/>
      <c r="M25" s="57" t="s">
        <v>1586</v>
      </c>
      <c r="N25" s="362" t="s">
        <v>1587</v>
      </c>
      <c r="O25" s="43" t="s">
        <v>1426</v>
      </c>
      <c r="P25" s="43" t="s">
        <v>24</v>
      </c>
      <c r="Q25" s="364">
        <v>41710</v>
      </c>
      <c r="R25" s="364">
        <v>42117</v>
      </c>
      <c r="S25" s="268" t="s">
        <v>1588</v>
      </c>
      <c r="T25" s="43" t="s">
        <v>1424</v>
      </c>
      <c r="U25" s="43" t="s">
        <v>1589</v>
      </c>
      <c r="V25" s="43" t="s">
        <v>1589</v>
      </c>
      <c r="W25" s="43">
        <v>1.038</v>
      </c>
      <c r="X25" s="30">
        <v>867</v>
      </c>
      <c r="Y25" s="30">
        <v>2492</v>
      </c>
      <c r="Z25" s="43" t="s">
        <v>1590</v>
      </c>
      <c r="AA25" s="43">
        <v>251</v>
      </c>
      <c r="AB25" s="43">
        <v>245</v>
      </c>
      <c r="AC25" s="43">
        <v>105</v>
      </c>
      <c r="AD25" s="43">
        <v>94</v>
      </c>
      <c r="AE25" s="43">
        <v>44</v>
      </c>
      <c r="AF25" s="43">
        <v>2447</v>
      </c>
      <c r="AG25" s="43">
        <v>76</v>
      </c>
      <c r="AH25" s="43">
        <v>231</v>
      </c>
      <c r="AI25" s="43">
        <v>213</v>
      </c>
      <c r="AJ25" s="43">
        <v>104</v>
      </c>
      <c r="AK25" s="43">
        <v>0</v>
      </c>
      <c r="AL25" s="43">
        <v>0</v>
      </c>
      <c r="AM25" s="43">
        <f t="shared" si="0"/>
        <v>624</v>
      </c>
      <c r="AO25" s="43">
        <v>74</v>
      </c>
      <c r="AP25" s="43">
        <v>35</v>
      </c>
      <c r="AQ25" s="43">
        <v>61</v>
      </c>
      <c r="AR25" s="43">
        <v>0</v>
      </c>
      <c r="AS25" s="43">
        <v>0</v>
      </c>
      <c r="AT25" s="43">
        <f t="shared" si="4"/>
        <v>170</v>
      </c>
      <c r="AU25" s="43">
        <v>0</v>
      </c>
      <c r="AV25" s="43">
        <v>45</v>
      </c>
      <c r="AW25" s="43">
        <v>56</v>
      </c>
      <c r="AX25" s="43">
        <v>0</v>
      </c>
      <c r="AY25" s="43">
        <v>0</v>
      </c>
      <c r="AZ25" s="43">
        <v>0</v>
      </c>
      <c r="BA25" s="43">
        <f t="shared" si="2"/>
        <v>101</v>
      </c>
      <c r="BB25" s="30">
        <f t="shared" si="5"/>
        <v>895</v>
      </c>
      <c r="BN25" s="30">
        <v>289</v>
      </c>
      <c r="BO25" s="30">
        <v>1112</v>
      </c>
      <c r="BP25" s="43">
        <v>148.4</v>
      </c>
      <c r="BQ25" s="43">
        <v>42</v>
      </c>
      <c r="BR25" s="372" t="s">
        <v>1591</v>
      </c>
      <c r="BS25" s="372" t="s">
        <v>1592</v>
      </c>
      <c r="BW25" s="425" t="s">
        <v>1593</v>
      </c>
    </row>
    <row r="26" spans="1:78" ht="16" customHeight="1" outlineLevel="1" x14ac:dyDescent="0.25">
      <c r="A26" s="51"/>
      <c r="B26" s="32"/>
      <c r="C26" t="s">
        <v>300</v>
      </c>
      <c r="D26" t="s">
        <v>1309</v>
      </c>
      <c r="G26" s="43">
        <v>28</v>
      </c>
      <c r="H26" s="30"/>
      <c r="I26" s="30">
        <v>900</v>
      </c>
      <c r="J26" s="39" t="s">
        <v>517</v>
      </c>
      <c r="K26" s="56"/>
      <c r="L26" s="311"/>
      <c r="M26" s="242" t="s">
        <v>1594</v>
      </c>
      <c r="N26" s="361" t="s">
        <v>300</v>
      </c>
      <c r="O26" s="43" t="s">
        <v>1595</v>
      </c>
      <c r="P26" s="43" t="s">
        <v>24</v>
      </c>
      <c r="Q26" s="364">
        <v>42243</v>
      </c>
      <c r="R26" s="364">
        <v>42243</v>
      </c>
      <c r="S26" s="268" t="s">
        <v>1596</v>
      </c>
      <c r="T26" s="43" t="s">
        <v>1597</v>
      </c>
      <c r="U26" s="268" t="s">
        <v>1598</v>
      </c>
      <c r="V26" s="268" t="s">
        <v>1598</v>
      </c>
      <c r="W26" s="43">
        <v>6.1</v>
      </c>
      <c r="X26" s="30" t="s">
        <v>1576</v>
      </c>
      <c r="Y26" s="30" t="s">
        <v>1576</v>
      </c>
      <c r="Z26" s="43" t="s">
        <v>1576</v>
      </c>
      <c r="AA26" s="43" t="s">
        <v>1576</v>
      </c>
      <c r="AB26" s="43" t="s">
        <v>1576</v>
      </c>
      <c r="AC26" s="43" t="s">
        <v>1576</v>
      </c>
      <c r="AD26" s="43" t="s">
        <v>1576</v>
      </c>
      <c r="AE26" s="43" t="s">
        <v>1576</v>
      </c>
      <c r="AF26" s="43" t="s">
        <v>1576</v>
      </c>
      <c r="AG26" s="43">
        <v>0</v>
      </c>
      <c r="AH26" s="43">
        <v>258</v>
      </c>
      <c r="AI26" s="43">
        <v>239</v>
      </c>
      <c r="AJ26" s="43">
        <v>164</v>
      </c>
      <c r="AK26" s="43">
        <v>6</v>
      </c>
      <c r="AL26" s="43">
        <v>0</v>
      </c>
      <c r="AM26" s="43">
        <f t="shared" si="0"/>
        <v>667</v>
      </c>
      <c r="AN26" s="43">
        <v>0</v>
      </c>
      <c r="AO26" s="43">
        <v>17</v>
      </c>
      <c r="AP26" s="43">
        <v>16</v>
      </c>
      <c r="AQ26" s="43">
        <v>19</v>
      </c>
      <c r="AR26" s="43">
        <v>8</v>
      </c>
      <c r="AS26" s="43">
        <v>0</v>
      </c>
      <c r="AT26" s="43">
        <f t="shared" si="4"/>
        <v>60</v>
      </c>
      <c r="AU26" s="43">
        <v>0</v>
      </c>
      <c r="AV26" s="43">
        <v>4</v>
      </c>
      <c r="AW26" s="43">
        <v>2</v>
      </c>
      <c r="AX26" s="43">
        <v>3</v>
      </c>
      <c r="AY26" s="43">
        <v>1</v>
      </c>
      <c r="AZ26" s="43">
        <v>0</v>
      </c>
      <c r="BA26" s="43">
        <f t="shared" si="2"/>
        <v>10</v>
      </c>
      <c r="BB26" s="30">
        <f t="shared" si="5"/>
        <v>737</v>
      </c>
      <c r="BD26" s="30">
        <v>9867</v>
      </c>
      <c r="BE26" s="30">
        <v>1348</v>
      </c>
      <c r="BF26" s="30">
        <v>2340</v>
      </c>
      <c r="BH26" s="30">
        <v>193</v>
      </c>
      <c r="BJ26" s="30">
        <v>955</v>
      </c>
      <c r="BN26" s="30">
        <v>328</v>
      </c>
      <c r="BO26" s="30">
        <v>1420</v>
      </c>
      <c r="BP26" s="43">
        <v>110</v>
      </c>
      <c r="BQ26" s="43">
        <v>30</v>
      </c>
      <c r="BR26" s="372" t="s">
        <v>1576</v>
      </c>
      <c r="BS26" s="372" t="s">
        <v>1576</v>
      </c>
    </row>
    <row r="27" spans="1:78" ht="16" customHeight="1" outlineLevel="1" x14ac:dyDescent="0.25">
      <c r="A27" s="51"/>
      <c r="B27" s="32"/>
      <c r="C27" s="175" t="s">
        <v>301</v>
      </c>
      <c r="D27" t="s">
        <v>412</v>
      </c>
      <c r="E27" s="33" t="s">
        <v>1119</v>
      </c>
      <c r="F27" s="61" t="s">
        <v>499</v>
      </c>
      <c r="G27" s="61">
        <v>55</v>
      </c>
      <c r="H27" s="34">
        <v>3357</v>
      </c>
      <c r="I27" s="34">
        <v>756</v>
      </c>
      <c r="J27" s="56" t="s">
        <v>519</v>
      </c>
      <c r="K27" s="56"/>
      <c r="L27" s="311"/>
      <c r="M27" s="43" t="s">
        <v>1599</v>
      </c>
      <c r="N27" s="268" t="s">
        <v>1600</v>
      </c>
      <c r="O27" s="43" t="s">
        <v>1601</v>
      </c>
      <c r="P27" s="43" t="s">
        <v>24</v>
      </c>
      <c r="Q27" s="364">
        <v>41949</v>
      </c>
      <c r="R27" s="364">
        <v>41949</v>
      </c>
      <c r="S27" s="268" t="s">
        <v>1600</v>
      </c>
      <c r="T27" s="43" t="s">
        <v>1424</v>
      </c>
      <c r="U27" s="268" t="s">
        <v>1602</v>
      </c>
      <c r="V27" s="43" t="s">
        <v>1576</v>
      </c>
      <c r="W27" s="43">
        <v>0.54</v>
      </c>
      <c r="X27" s="30">
        <v>1400</v>
      </c>
      <c r="Y27" s="30">
        <v>3357</v>
      </c>
      <c r="Z27" s="43">
        <v>5</v>
      </c>
      <c r="AA27" s="43" t="s">
        <v>1576</v>
      </c>
      <c r="AB27" s="43" t="s">
        <v>1576</v>
      </c>
      <c r="AC27" s="43">
        <v>67</v>
      </c>
      <c r="AD27" s="43">
        <v>56</v>
      </c>
      <c r="AE27" s="43">
        <v>43</v>
      </c>
      <c r="AF27" s="43">
        <v>1660</v>
      </c>
      <c r="AG27" s="43">
        <v>170</v>
      </c>
      <c r="AH27" s="43">
        <v>171</v>
      </c>
      <c r="AI27" s="43">
        <v>280</v>
      </c>
      <c r="AJ27" s="43">
        <v>3</v>
      </c>
      <c r="AK27" s="43">
        <v>0</v>
      </c>
      <c r="AL27" s="43">
        <v>0</v>
      </c>
      <c r="AM27" s="43">
        <f>SUM(AG27:AL27)</f>
        <v>624</v>
      </c>
      <c r="AN27" s="43">
        <v>0</v>
      </c>
      <c r="AO27" s="43">
        <v>27</v>
      </c>
      <c r="AP27" s="43">
        <v>22</v>
      </c>
      <c r="AQ27" s="43">
        <v>28</v>
      </c>
      <c r="AR27" s="43">
        <v>13</v>
      </c>
      <c r="AS27" s="43">
        <v>0</v>
      </c>
      <c r="AT27" s="43">
        <f>SUM(AN27:AS27)</f>
        <v>90</v>
      </c>
      <c r="AU27" s="43">
        <v>0</v>
      </c>
      <c r="AV27" s="43">
        <v>11</v>
      </c>
      <c r="AW27" s="43">
        <v>21</v>
      </c>
      <c r="AX27" s="43">
        <v>10</v>
      </c>
      <c r="AY27" s="43">
        <v>0</v>
      </c>
      <c r="AZ27" s="43">
        <v>0</v>
      </c>
      <c r="BA27" s="43">
        <f>SUM(AU27:AZ27)</f>
        <v>42</v>
      </c>
      <c r="BB27" s="30">
        <f>SUM(AM27+AT27+BA27)</f>
        <v>756</v>
      </c>
      <c r="BN27" s="30">
        <v>102</v>
      </c>
      <c r="BO27" s="30">
        <v>808</v>
      </c>
      <c r="BP27" s="43">
        <v>187.5</v>
      </c>
      <c r="BQ27" s="43">
        <v>55</v>
      </c>
      <c r="BR27" s="430" t="s">
        <v>1603</v>
      </c>
      <c r="BS27" s="372" t="s">
        <v>1604</v>
      </c>
      <c r="BW27" s="425" t="s">
        <v>1585</v>
      </c>
    </row>
    <row r="28" spans="1:78" ht="16" customHeight="1" outlineLevel="1" x14ac:dyDescent="0.25">
      <c r="A28" s="51"/>
      <c r="B28" s="32"/>
      <c r="C28" s="84" t="s">
        <v>435</v>
      </c>
      <c r="D28" s="84" t="s">
        <v>446</v>
      </c>
      <c r="E28" s="35" t="s">
        <v>1119</v>
      </c>
      <c r="F28" s="62" t="s">
        <v>524</v>
      </c>
      <c r="G28" s="62">
        <v>32</v>
      </c>
      <c r="H28" s="36">
        <v>1528</v>
      </c>
      <c r="I28" s="36">
        <v>546</v>
      </c>
      <c r="J28" s="39" t="s">
        <v>511</v>
      </c>
      <c r="K28" s="56"/>
      <c r="L28" s="311"/>
      <c r="M28" s="43" t="s">
        <v>1605</v>
      </c>
      <c r="N28" s="268" t="s">
        <v>1606</v>
      </c>
      <c r="O28" s="43" t="s">
        <v>1607</v>
      </c>
      <c r="P28" s="43" t="s">
        <v>1608</v>
      </c>
      <c r="Q28" s="364">
        <v>39520</v>
      </c>
      <c r="R28" s="364">
        <v>39520</v>
      </c>
      <c r="S28" s="268" t="s">
        <v>1606</v>
      </c>
      <c r="T28" s="43" t="s">
        <v>1424</v>
      </c>
      <c r="U28" s="268" t="s">
        <v>1609</v>
      </c>
      <c r="V28" s="268" t="s">
        <v>1610</v>
      </c>
      <c r="W28" s="43">
        <v>0.94</v>
      </c>
      <c r="X28" s="30">
        <v>580</v>
      </c>
      <c r="Y28" s="30">
        <v>1528</v>
      </c>
      <c r="Z28" s="43">
        <v>4</v>
      </c>
      <c r="AA28" s="43" t="s">
        <v>1576</v>
      </c>
      <c r="AB28" s="43" t="s">
        <v>1576</v>
      </c>
      <c r="AC28" s="43" t="s">
        <v>1576</v>
      </c>
      <c r="AD28" s="43" t="s">
        <v>1576</v>
      </c>
      <c r="AE28" s="43" t="s">
        <v>1576</v>
      </c>
      <c r="AF28" s="43">
        <v>1680</v>
      </c>
      <c r="AG28" s="43">
        <v>87</v>
      </c>
      <c r="AH28" s="43">
        <v>121</v>
      </c>
      <c r="AI28" s="43">
        <v>79</v>
      </c>
      <c r="AJ28" s="43">
        <v>94</v>
      </c>
      <c r="AK28" s="43">
        <v>0</v>
      </c>
      <c r="AL28" s="43">
        <v>0</v>
      </c>
      <c r="AM28" s="43">
        <f t="shared" si="0"/>
        <v>381</v>
      </c>
      <c r="AN28" s="43">
        <v>0</v>
      </c>
      <c r="AO28" s="43">
        <v>26</v>
      </c>
      <c r="AP28" s="43">
        <v>37</v>
      </c>
      <c r="AQ28" s="43">
        <v>46</v>
      </c>
      <c r="AR28" s="43">
        <v>14</v>
      </c>
      <c r="AS28" s="43">
        <v>0</v>
      </c>
      <c r="AT28" s="43">
        <f t="shared" si="4"/>
        <v>123</v>
      </c>
      <c r="AU28" s="43">
        <v>0</v>
      </c>
      <c r="AV28" s="43">
        <v>26</v>
      </c>
      <c r="AW28" s="43">
        <v>9</v>
      </c>
      <c r="AX28" s="43">
        <v>7</v>
      </c>
      <c r="AY28" s="43">
        <v>0</v>
      </c>
      <c r="AZ28" s="43">
        <v>0</v>
      </c>
      <c r="BA28" s="43">
        <f t="shared" si="2"/>
        <v>42</v>
      </c>
      <c r="BB28" s="30">
        <f t="shared" si="5"/>
        <v>546</v>
      </c>
      <c r="BN28" s="30">
        <v>150</v>
      </c>
      <c r="BO28" s="30">
        <v>578</v>
      </c>
      <c r="BP28" s="43">
        <v>31</v>
      </c>
      <c r="BQ28" s="43">
        <v>99.5</v>
      </c>
      <c r="BR28" s="372" t="s">
        <v>1576</v>
      </c>
      <c r="BS28" s="372" t="s">
        <v>1576</v>
      </c>
      <c r="BW28" s="425" t="s">
        <v>1611</v>
      </c>
    </row>
    <row r="29" spans="1:78" ht="16" customHeight="1" outlineLevel="1" x14ac:dyDescent="0.25">
      <c r="A29" s="51"/>
      <c r="B29" s="31"/>
      <c r="C29" s="175" t="s">
        <v>1255</v>
      </c>
      <c r="D29" t="s">
        <v>1308</v>
      </c>
      <c r="F29" s="43" t="s">
        <v>1254</v>
      </c>
      <c r="G29" s="43" t="s">
        <v>1253</v>
      </c>
      <c r="H29" s="60"/>
      <c r="I29" s="30">
        <v>500</v>
      </c>
      <c r="J29" t="s">
        <v>518</v>
      </c>
      <c r="L29" s="311"/>
      <c r="AM29" s="43">
        <f t="shared" si="0"/>
        <v>0</v>
      </c>
      <c r="AT29" s="43">
        <f t="shared" si="4"/>
        <v>0</v>
      </c>
      <c r="BA29" s="43">
        <f t="shared" si="2"/>
        <v>0</v>
      </c>
      <c r="BB29" s="30">
        <f t="shared" si="5"/>
        <v>0</v>
      </c>
    </row>
    <row r="30" spans="1:78" ht="16" customHeight="1" outlineLevel="1" x14ac:dyDescent="0.25">
      <c r="A30" s="51"/>
      <c r="B30" s="32"/>
      <c r="C30" s="176" t="s">
        <v>1612</v>
      </c>
      <c r="D30" s="427" t="s">
        <v>457</v>
      </c>
      <c r="E30" s="37" t="s">
        <v>1119</v>
      </c>
      <c r="F30" s="63" t="s">
        <v>494</v>
      </c>
      <c r="G30" s="63">
        <v>58</v>
      </c>
      <c r="H30" s="183">
        <v>2738</v>
      </c>
      <c r="I30" s="45">
        <v>575</v>
      </c>
      <c r="J30" s="39" t="s">
        <v>513</v>
      </c>
      <c r="K30" s="56"/>
      <c r="L30" s="39"/>
      <c r="M30" s="242"/>
      <c r="N30" s="361"/>
      <c r="AM30" s="43">
        <f t="shared" si="0"/>
        <v>0</v>
      </c>
      <c r="AT30" s="43">
        <f t="shared" si="4"/>
        <v>0</v>
      </c>
      <c r="BA30" s="43">
        <f t="shared" si="2"/>
        <v>0</v>
      </c>
      <c r="BB30" s="30">
        <f t="shared" si="5"/>
        <v>0</v>
      </c>
    </row>
    <row r="31" spans="1:78" ht="16" customHeight="1" outlineLevel="1" x14ac:dyDescent="0.25">
      <c r="A31" s="51"/>
      <c r="B31" s="31"/>
      <c r="C31" t="s">
        <v>1613</v>
      </c>
      <c r="H31" s="60"/>
      <c r="I31" s="30"/>
      <c r="M31" s="43" t="s">
        <v>1614</v>
      </c>
      <c r="N31" s="268" t="s">
        <v>1615</v>
      </c>
      <c r="O31" s="43" t="s">
        <v>1571</v>
      </c>
      <c r="P31" s="43" t="s">
        <v>1572</v>
      </c>
      <c r="Q31" s="364">
        <v>41711</v>
      </c>
      <c r="R31" s="364">
        <v>41711</v>
      </c>
      <c r="S31" s="268" t="s">
        <v>1616</v>
      </c>
      <c r="T31" s="268" t="s">
        <v>66</v>
      </c>
      <c r="U31" s="268" t="s">
        <v>1617</v>
      </c>
      <c r="V31" s="268" t="s">
        <v>1618</v>
      </c>
      <c r="W31" s="43">
        <v>0.48</v>
      </c>
      <c r="X31" s="30">
        <v>1183</v>
      </c>
      <c r="Y31" s="30">
        <v>2738</v>
      </c>
      <c r="Z31" s="43">
        <v>5</v>
      </c>
      <c r="AA31" s="43" t="s">
        <v>1576</v>
      </c>
      <c r="AB31" s="43" t="s">
        <v>1576</v>
      </c>
      <c r="AC31" s="43">
        <v>19</v>
      </c>
      <c r="AD31" s="43">
        <v>8</v>
      </c>
      <c r="AE31" s="43">
        <v>1</v>
      </c>
      <c r="AF31" s="43">
        <v>319</v>
      </c>
      <c r="AG31" s="43">
        <v>70</v>
      </c>
      <c r="AH31" s="43">
        <v>272</v>
      </c>
      <c r="AI31" s="43">
        <v>204</v>
      </c>
      <c r="AJ31" s="43">
        <v>22</v>
      </c>
      <c r="AK31" s="43">
        <v>0</v>
      </c>
      <c r="AL31" s="43">
        <v>0</v>
      </c>
      <c r="AM31" s="43">
        <f>SUM(AG150:AL150)</f>
        <v>0</v>
      </c>
      <c r="AN31" s="43">
        <v>0</v>
      </c>
      <c r="AO31" s="43">
        <v>0</v>
      </c>
      <c r="AP31" s="43">
        <v>0</v>
      </c>
      <c r="AQ31" s="43">
        <v>0</v>
      </c>
      <c r="AR31" s="43">
        <v>0</v>
      </c>
      <c r="AS31" s="43">
        <v>0</v>
      </c>
      <c r="AT31" s="43">
        <f>SUM(AN31:AS31)</f>
        <v>0</v>
      </c>
      <c r="AU31" s="43">
        <v>0</v>
      </c>
      <c r="AV31" s="43">
        <v>0</v>
      </c>
      <c r="AW31" s="43">
        <v>0</v>
      </c>
      <c r="AX31" s="43">
        <v>0</v>
      </c>
      <c r="AY31" s="43">
        <v>0</v>
      </c>
      <c r="AZ31" s="43">
        <v>0</v>
      </c>
      <c r="BA31" s="43">
        <f>SUM(AU31:AZ31)</f>
        <v>0</v>
      </c>
      <c r="BB31" s="30">
        <f>SUM(AM31+AT31+BA31)</f>
        <v>0</v>
      </c>
      <c r="BN31" s="30">
        <v>71</v>
      </c>
      <c r="BO31" s="30">
        <v>643</v>
      </c>
      <c r="BP31" s="43">
        <v>226</v>
      </c>
      <c r="BQ31" s="43">
        <v>58</v>
      </c>
      <c r="BR31" s="372" t="s">
        <v>1619</v>
      </c>
      <c r="BS31" s="372" t="s">
        <v>1620</v>
      </c>
      <c r="BW31" s="425" t="s">
        <v>1621</v>
      </c>
    </row>
    <row r="32" spans="1:78" ht="16" customHeight="1" outlineLevel="1" x14ac:dyDescent="0.25">
      <c r="A32" s="51"/>
      <c r="B32" s="31"/>
      <c r="C32" t="s">
        <v>1622</v>
      </c>
      <c r="H32" s="60"/>
      <c r="I32" s="30"/>
      <c r="M32" s="43" t="s">
        <v>1623</v>
      </c>
      <c r="N32" s="268" t="s">
        <v>1615</v>
      </c>
      <c r="O32" s="43" t="s">
        <v>1571</v>
      </c>
      <c r="P32" s="43" t="s">
        <v>1572</v>
      </c>
      <c r="Q32" s="364">
        <v>41711</v>
      </c>
      <c r="R32" s="364">
        <v>41711</v>
      </c>
      <c r="S32" s="268"/>
      <c r="T32" s="268" t="s">
        <v>1424</v>
      </c>
      <c r="U32" s="268" t="s">
        <v>1617</v>
      </c>
      <c r="V32" s="268" t="s">
        <v>1618</v>
      </c>
      <c r="AN32" s="43">
        <v>0</v>
      </c>
      <c r="AO32" s="43">
        <v>0</v>
      </c>
      <c r="AP32" s="43">
        <v>0</v>
      </c>
      <c r="AQ32" s="43">
        <v>6</v>
      </c>
      <c r="AR32" s="43">
        <v>13</v>
      </c>
      <c r="AS32" s="43">
        <v>1</v>
      </c>
      <c r="AT32" s="43">
        <f>SUM(AN32:AS32)</f>
        <v>20</v>
      </c>
      <c r="BW32" s="425"/>
    </row>
    <row r="33" spans="1:75" ht="16" customHeight="1" outlineLevel="1" x14ac:dyDescent="0.25">
      <c r="A33" s="51"/>
      <c r="B33" s="31"/>
      <c r="C33" t="s">
        <v>1624</v>
      </c>
      <c r="H33" s="60"/>
      <c r="I33" s="30"/>
      <c r="M33" s="43" t="s">
        <v>1625</v>
      </c>
      <c r="N33" s="268" t="s">
        <v>1615</v>
      </c>
      <c r="O33" s="43" t="s">
        <v>1571</v>
      </c>
      <c r="P33" s="43" t="s">
        <v>1572</v>
      </c>
      <c r="Q33" s="364">
        <v>41711</v>
      </c>
      <c r="R33" s="364">
        <v>41711</v>
      </c>
      <c r="S33" s="268"/>
      <c r="T33" s="268" t="s">
        <v>1424</v>
      </c>
      <c r="U33" s="268" t="s">
        <v>1617</v>
      </c>
      <c r="V33" s="268" t="s">
        <v>1618</v>
      </c>
      <c r="AN33" s="43">
        <v>0</v>
      </c>
      <c r="AO33" s="43">
        <v>5</v>
      </c>
      <c r="AP33" s="43">
        <v>5</v>
      </c>
      <c r="AQ33" s="43">
        <v>30</v>
      </c>
      <c r="AR33" s="43">
        <v>2</v>
      </c>
      <c r="AS33" s="43">
        <v>0</v>
      </c>
      <c r="AT33" s="43">
        <f>SUM(AN33:AS33)</f>
        <v>42</v>
      </c>
      <c r="BW33" s="425"/>
    </row>
    <row r="34" spans="1:75" ht="16" customHeight="1" outlineLevel="1" x14ac:dyDescent="0.25">
      <c r="A34" s="51"/>
      <c r="B34" s="31"/>
      <c r="C34" t="s">
        <v>1626</v>
      </c>
      <c r="H34" s="60"/>
      <c r="I34" s="30"/>
      <c r="M34" s="43" t="s">
        <v>1627</v>
      </c>
      <c r="N34" s="268" t="s">
        <v>1615</v>
      </c>
      <c r="O34" s="43" t="s">
        <v>1571</v>
      </c>
      <c r="P34" s="43" t="s">
        <v>1572</v>
      </c>
      <c r="Q34" s="364">
        <v>41711</v>
      </c>
      <c r="R34" s="364">
        <v>41711</v>
      </c>
      <c r="S34" s="268"/>
      <c r="T34" s="268" t="s">
        <v>1424</v>
      </c>
      <c r="U34" s="268" t="s">
        <v>1617</v>
      </c>
      <c r="V34" s="268" t="s">
        <v>1618</v>
      </c>
      <c r="Z34" s="431" t="s">
        <v>1568</v>
      </c>
      <c r="AT34" s="43">
        <v>352</v>
      </c>
      <c r="BW34" s="425"/>
    </row>
    <row r="35" spans="1:75" ht="16" customHeight="1" outlineLevel="1" x14ac:dyDescent="0.25">
      <c r="A35" s="51"/>
      <c r="B35" s="32"/>
      <c r="C35" s="84" t="s">
        <v>436</v>
      </c>
      <c r="D35" s="432" t="s">
        <v>458</v>
      </c>
      <c r="E35" s="126"/>
      <c r="F35" s="62"/>
      <c r="G35" s="64">
        <v>67</v>
      </c>
      <c r="H35" s="184"/>
      <c r="I35" s="36"/>
      <c r="J35" s="56"/>
      <c r="K35" s="56"/>
      <c r="L35" s="56"/>
      <c r="M35" s="43" t="s">
        <v>1628</v>
      </c>
      <c r="N35" s="268" t="s">
        <v>1629</v>
      </c>
      <c r="O35" s="43" t="s">
        <v>1630</v>
      </c>
      <c r="P35" s="43" t="s">
        <v>24</v>
      </c>
      <c r="Q35" s="364">
        <v>41907</v>
      </c>
      <c r="R35" s="364">
        <v>41949</v>
      </c>
      <c r="S35" s="268" t="s">
        <v>1629</v>
      </c>
      <c r="T35" s="43" t="s">
        <v>1424</v>
      </c>
      <c r="U35" s="268" t="s">
        <v>1631</v>
      </c>
      <c r="V35" s="43" t="s">
        <v>1576</v>
      </c>
      <c r="W35" s="43">
        <v>0.192</v>
      </c>
      <c r="X35" s="30">
        <v>2583</v>
      </c>
      <c r="Y35" s="30">
        <v>6869</v>
      </c>
      <c r="Z35" s="43">
        <v>5</v>
      </c>
      <c r="AA35" s="43" t="s">
        <v>1576</v>
      </c>
      <c r="AB35" s="43" t="s">
        <v>1576</v>
      </c>
      <c r="AC35" s="43">
        <v>53.7</v>
      </c>
      <c r="AD35" s="43">
        <v>50.5</v>
      </c>
      <c r="AE35" s="43">
        <v>23.4</v>
      </c>
      <c r="AF35" s="43">
        <v>1276</v>
      </c>
      <c r="AG35" s="43">
        <v>0</v>
      </c>
      <c r="AH35" s="43">
        <v>50</v>
      </c>
      <c r="AI35" s="43">
        <v>30</v>
      </c>
      <c r="AJ35" s="43">
        <v>20</v>
      </c>
      <c r="AK35" s="43">
        <v>0</v>
      </c>
      <c r="AL35" s="43">
        <v>0</v>
      </c>
      <c r="AM35" s="43">
        <f>SUM(AG35:AL35)</f>
        <v>100</v>
      </c>
      <c r="AN35" s="43">
        <v>0</v>
      </c>
      <c r="AO35" s="43">
        <v>30</v>
      </c>
      <c r="AP35" s="43">
        <v>25</v>
      </c>
      <c r="AQ35" s="43">
        <v>30</v>
      </c>
      <c r="AR35" s="43">
        <v>15</v>
      </c>
      <c r="AS35" s="43">
        <v>0</v>
      </c>
      <c r="AT35" s="43">
        <f>SUM(AN35:AS35)</f>
        <v>100</v>
      </c>
      <c r="AU35" s="43">
        <v>0</v>
      </c>
      <c r="AV35" s="43">
        <v>25</v>
      </c>
      <c r="AW35" s="43">
        <v>50</v>
      </c>
      <c r="AX35" s="43">
        <v>25</v>
      </c>
      <c r="AY35" s="43">
        <v>0</v>
      </c>
      <c r="AZ35" s="43">
        <v>0</v>
      </c>
      <c r="BA35" s="43">
        <f>SUM(AU35:AZ35)</f>
        <v>100</v>
      </c>
      <c r="BB35" s="30">
        <f>SUM(AM35+AT35+BA35)</f>
        <v>300</v>
      </c>
      <c r="BN35" s="30">
        <v>42</v>
      </c>
      <c r="BO35" s="30">
        <v>613</v>
      </c>
      <c r="BP35" s="43">
        <v>233</v>
      </c>
      <c r="BQ35" s="43">
        <v>68</v>
      </c>
      <c r="BR35" s="372" t="s">
        <v>1632</v>
      </c>
      <c r="BS35" s="372" t="s">
        <v>1633</v>
      </c>
      <c r="BW35" s="425" t="s">
        <v>1585</v>
      </c>
    </row>
    <row r="36" spans="1:75" ht="16" customHeight="1" outlineLevel="1" x14ac:dyDescent="0.25">
      <c r="A36" s="51"/>
      <c r="B36" s="32"/>
      <c r="C36" s="177" t="s">
        <v>451</v>
      </c>
      <c r="D36" s="432" t="s">
        <v>1310</v>
      </c>
      <c r="E36" s="126"/>
      <c r="F36" s="62" t="s">
        <v>498</v>
      </c>
      <c r="G36" s="62">
        <v>53</v>
      </c>
      <c r="H36" s="36"/>
      <c r="I36" s="36">
        <v>410</v>
      </c>
      <c r="J36" s="39"/>
      <c r="K36" s="39"/>
      <c r="L36" s="39"/>
      <c r="M36" s="242"/>
      <c r="N36" s="361"/>
      <c r="AM36" s="43">
        <f t="shared" si="0"/>
        <v>0</v>
      </c>
      <c r="AT36" s="43">
        <f t="shared" si="4"/>
        <v>0</v>
      </c>
      <c r="BA36" s="43">
        <f t="shared" si="2"/>
        <v>0</v>
      </c>
      <c r="BB36" s="30">
        <f t="shared" si="5"/>
        <v>0</v>
      </c>
    </row>
    <row r="37" spans="1:75" ht="16" customHeight="1" outlineLevel="1" x14ac:dyDescent="0.25">
      <c r="A37" s="51"/>
      <c r="B37" s="32"/>
      <c r="C37" s="177" t="s">
        <v>1311</v>
      </c>
      <c r="D37" s="432" t="s">
        <v>457</v>
      </c>
      <c r="E37" s="126" t="s">
        <v>1119</v>
      </c>
      <c r="F37" s="62" t="s">
        <v>528</v>
      </c>
      <c r="G37" s="62">
        <v>39</v>
      </c>
      <c r="H37" s="36"/>
      <c r="I37" s="36"/>
      <c r="J37" s="39" t="s">
        <v>1329</v>
      </c>
      <c r="M37" s="43" t="s">
        <v>1634</v>
      </c>
      <c r="N37" s="268" t="s">
        <v>1635</v>
      </c>
      <c r="O37" s="43" t="s">
        <v>1636</v>
      </c>
      <c r="P37" s="43" t="s">
        <v>314</v>
      </c>
      <c r="Q37" s="364">
        <v>40253</v>
      </c>
      <c r="R37" s="364">
        <v>40437</v>
      </c>
      <c r="S37" s="268" t="s">
        <v>1635</v>
      </c>
      <c r="T37" s="43" t="s">
        <v>1637</v>
      </c>
      <c r="U37" s="268" t="s">
        <v>1638</v>
      </c>
      <c r="V37" s="268" t="s">
        <v>1639</v>
      </c>
      <c r="AM37" s="43">
        <f t="shared" si="0"/>
        <v>0</v>
      </c>
      <c r="AT37" s="43">
        <f t="shared" si="4"/>
        <v>0</v>
      </c>
      <c r="BA37" s="43">
        <f t="shared" si="2"/>
        <v>0</v>
      </c>
      <c r="BB37" s="30">
        <f t="shared" si="5"/>
        <v>0</v>
      </c>
      <c r="BC37" s="30">
        <v>305</v>
      </c>
      <c r="BE37" s="30">
        <v>1088</v>
      </c>
      <c r="BI37" s="30">
        <v>762</v>
      </c>
      <c r="BJ37" s="30">
        <v>433</v>
      </c>
      <c r="BL37" s="30">
        <v>379</v>
      </c>
      <c r="BN37" s="30">
        <v>1</v>
      </c>
      <c r="BO37" s="30">
        <v>38</v>
      </c>
      <c r="BP37" s="43">
        <v>124.15</v>
      </c>
      <c r="BQ37" s="43">
        <v>38</v>
      </c>
      <c r="BR37" s="372" t="s">
        <v>1640</v>
      </c>
      <c r="BS37" s="372" t="s">
        <v>1576</v>
      </c>
      <c r="BW37" s="425" t="s">
        <v>1641</v>
      </c>
    </row>
    <row r="38" spans="1:75" ht="16" customHeight="1" outlineLevel="1" x14ac:dyDescent="0.25">
      <c r="A38" s="51"/>
      <c r="B38" s="32"/>
      <c r="C38" s="178" t="s">
        <v>437</v>
      </c>
      <c r="D38" s="432" t="s">
        <v>1279</v>
      </c>
      <c r="E38" s="126"/>
      <c r="F38" s="64" t="s">
        <v>1353</v>
      </c>
      <c r="G38" s="62">
        <v>60</v>
      </c>
      <c r="H38" s="36"/>
      <c r="I38" s="36">
        <v>685</v>
      </c>
      <c r="J38" t="s">
        <v>527</v>
      </c>
      <c r="M38" s="43" t="s">
        <v>1642</v>
      </c>
      <c r="N38" s="268" t="s">
        <v>1643</v>
      </c>
      <c r="O38" s="43" t="s">
        <v>1644</v>
      </c>
      <c r="P38" s="43" t="s">
        <v>24</v>
      </c>
      <c r="Q38" s="364">
        <v>42159</v>
      </c>
      <c r="R38" s="364">
        <v>42159</v>
      </c>
      <c r="S38" s="268" t="s">
        <v>1645</v>
      </c>
      <c r="T38" s="43" t="s">
        <v>1646</v>
      </c>
      <c r="U38" s="268" t="s">
        <v>1647</v>
      </c>
      <c r="V38" s="268" t="s">
        <v>1647</v>
      </c>
      <c r="W38" s="43">
        <v>0.3856</v>
      </c>
      <c r="X38" s="30">
        <v>685</v>
      </c>
      <c r="Y38" s="30">
        <v>1710</v>
      </c>
      <c r="Z38" s="43" t="s">
        <v>1648</v>
      </c>
      <c r="AA38" s="43" t="s">
        <v>1576</v>
      </c>
      <c r="AB38" s="43">
        <v>120</v>
      </c>
      <c r="AC38" s="43">
        <v>53</v>
      </c>
      <c r="AD38" s="43">
        <v>39</v>
      </c>
      <c r="AE38" s="43">
        <v>28</v>
      </c>
      <c r="AF38" s="43">
        <v>1472</v>
      </c>
      <c r="AG38" s="43">
        <v>97</v>
      </c>
      <c r="AH38" s="43">
        <v>224</v>
      </c>
      <c r="AI38" s="43">
        <v>235</v>
      </c>
      <c r="AJ38" s="43">
        <v>47</v>
      </c>
      <c r="AK38" s="43">
        <v>4</v>
      </c>
      <c r="AL38" s="43">
        <v>0</v>
      </c>
      <c r="AM38" s="43">
        <f>SUM(AG38:AL38)</f>
        <v>607</v>
      </c>
      <c r="AN38" s="43">
        <v>0</v>
      </c>
      <c r="AO38" s="43">
        <v>14</v>
      </c>
      <c r="AP38" s="43">
        <v>18</v>
      </c>
      <c r="AQ38" s="43">
        <v>14</v>
      </c>
      <c r="AR38" s="43">
        <v>8</v>
      </c>
      <c r="AS38" s="43">
        <v>0</v>
      </c>
      <c r="AT38" s="43">
        <f t="shared" si="4"/>
        <v>54</v>
      </c>
      <c r="AU38" s="43">
        <v>0</v>
      </c>
      <c r="AV38" s="43">
        <v>9</v>
      </c>
      <c r="AW38" s="43">
        <v>11</v>
      </c>
      <c r="AX38" s="43">
        <v>4</v>
      </c>
      <c r="AY38" s="43">
        <v>0</v>
      </c>
      <c r="AZ38" s="43">
        <v>0</v>
      </c>
      <c r="BA38" s="43">
        <f t="shared" si="2"/>
        <v>24</v>
      </c>
      <c r="BB38" s="30">
        <f t="shared" si="5"/>
        <v>685</v>
      </c>
      <c r="BN38" s="30">
        <v>92</v>
      </c>
      <c r="BO38" s="30">
        <v>1223</v>
      </c>
      <c r="BP38" s="43">
        <v>213.5</v>
      </c>
      <c r="BQ38" s="43">
        <v>63</v>
      </c>
      <c r="BR38" s="372" t="s">
        <v>1576</v>
      </c>
      <c r="BS38" s="372" t="s">
        <v>1649</v>
      </c>
      <c r="BW38" s="425" t="s">
        <v>1650</v>
      </c>
    </row>
    <row r="39" spans="1:75" ht="16" customHeight="1" outlineLevel="1" x14ac:dyDescent="0.25">
      <c r="A39" s="51"/>
      <c r="B39" s="32"/>
      <c r="C39" s="432" t="s">
        <v>1162</v>
      </c>
      <c r="D39" s="126" t="s">
        <v>460</v>
      </c>
      <c r="E39" s="126"/>
      <c r="F39" s="64" t="s">
        <v>1161</v>
      </c>
      <c r="G39" s="62">
        <v>45</v>
      </c>
      <c r="H39" s="36"/>
      <c r="I39" s="36">
        <v>484</v>
      </c>
      <c r="J39" t="s">
        <v>514</v>
      </c>
      <c r="AM39" s="43">
        <f t="shared" si="0"/>
        <v>0</v>
      </c>
      <c r="AT39" s="43">
        <f t="shared" si="4"/>
        <v>0</v>
      </c>
      <c r="BA39" s="43">
        <f t="shared" si="2"/>
        <v>0</v>
      </c>
      <c r="BB39" s="30">
        <f t="shared" si="5"/>
        <v>0</v>
      </c>
    </row>
    <row r="40" spans="1:75" ht="16" customHeight="1" outlineLevel="1" x14ac:dyDescent="0.25">
      <c r="A40" s="51"/>
      <c r="B40" s="32"/>
      <c r="C40" s="175" t="s">
        <v>1152</v>
      </c>
      <c r="D40" s="432" t="s">
        <v>460</v>
      </c>
      <c r="E40" s="126"/>
      <c r="G40" s="43">
        <v>39</v>
      </c>
      <c r="H40" s="30"/>
      <c r="I40" s="30">
        <v>275</v>
      </c>
      <c r="AM40" s="43">
        <f t="shared" si="0"/>
        <v>0</v>
      </c>
      <c r="AT40" s="43">
        <f>SUM(AN40:AS40)</f>
        <v>0</v>
      </c>
      <c r="BA40" s="43">
        <f t="shared" si="2"/>
        <v>0</v>
      </c>
      <c r="BB40" s="30">
        <f t="shared" si="5"/>
        <v>0</v>
      </c>
    </row>
    <row r="41" spans="1:75" ht="16" customHeight="1" outlineLevel="1" x14ac:dyDescent="0.25">
      <c r="A41" s="51"/>
      <c r="B41" s="31"/>
      <c r="C41" s="175" t="s">
        <v>1335</v>
      </c>
      <c r="D41" t="s">
        <v>1262</v>
      </c>
      <c r="H41" s="60"/>
      <c r="I41" s="30">
        <v>206</v>
      </c>
      <c r="AM41" s="43">
        <f t="shared" si="0"/>
        <v>0</v>
      </c>
      <c r="AT41" s="43">
        <f t="shared" si="4"/>
        <v>0</v>
      </c>
      <c r="BA41" s="43">
        <f t="shared" si="2"/>
        <v>0</v>
      </c>
      <c r="BB41" s="30">
        <f t="shared" si="5"/>
        <v>0</v>
      </c>
    </row>
    <row r="42" spans="1:75" ht="16" customHeight="1" outlineLevel="1" x14ac:dyDescent="0.25">
      <c r="A42" s="51"/>
      <c r="B42" s="32"/>
      <c r="C42" t="s">
        <v>461</v>
      </c>
      <c r="D42" s="432" t="s">
        <v>457</v>
      </c>
      <c r="E42" s="126" t="s">
        <v>1119</v>
      </c>
      <c r="G42" s="43">
        <v>14</v>
      </c>
      <c r="H42" s="30"/>
      <c r="I42" s="43">
        <v>132</v>
      </c>
      <c r="M42" s="43" t="s">
        <v>1651</v>
      </c>
      <c r="N42" s="268" t="s">
        <v>1652</v>
      </c>
      <c r="O42" s="43" t="s">
        <v>1653</v>
      </c>
      <c r="P42" s="43" t="s">
        <v>314</v>
      </c>
      <c r="Q42" s="364">
        <v>40562</v>
      </c>
      <c r="R42" s="364">
        <v>40927</v>
      </c>
      <c r="S42" s="268" t="s">
        <v>1652</v>
      </c>
      <c r="T42" s="43" t="s">
        <v>1424</v>
      </c>
      <c r="U42" s="268" t="s">
        <v>1654</v>
      </c>
      <c r="V42" s="43" t="s">
        <v>1655</v>
      </c>
      <c r="W42" s="43">
        <v>0.43</v>
      </c>
      <c r="X42" s="30" t="s">
        <v>1576</v>
      </c>
      <c r="Y42" s="30">
        <v>904</v>
      </c>
      <c r="Z42" s="43">
        <v>2</v>
      </c>
      <c r="AA42" s="43" t="s">
        <v>1576</v>
      </c>
      <c r="AB42" s="43" t="s">
        <v>1576</v>
      </c>
      <c r="AC42" s="43" t="s">
        <v>1576</v>
      </c>
      <c r="AD42" s="43" t="s">
        <v>1576</v>
      </c>
      <c r="AE42" s="43" t="s">
        <v>1576</v>
      </c>
      <c r="AF42" s="43">
        <v>510</v>
      </c>
      <c r="AG42" s="43">
        <v>0</v>
      </c>
      <c r="AH42" s="43">
        <v>39</v>
      </c>
      <c r="AI42" s="43">
        <v>28</v>
      </c>
      <c r="AJ42" s="43">
        <v>21</v>
      </c>
      <c r="AK42" s="43">
        <v>0</v>
      </c>
      <c r="AL42" s="43">
        <v>0</v>
      </c>
      <c r="AM42" s="43">
        <f t="shared" si="0"/>
        <v>88</v>
      </c>
      <c r="AN42" s="43">
        <v>0</v>
      </c>
      <c r="AO42" s="43">
        <v>8</v>
      </c>
      <c r="AP42" s="43">
        <v>12</v>
      </c>
      <c r="AQ42" s="43">
        <v>8</v>
      </c>
      <c r="AR42" s="43">
        <v>4</v>
      </c>
      <c r="AS42" s="43">
        <v>0</v>
      </c>
      <c r="AT42" s="43">
        <f t="shared" si="4"/>
        <v>32</v>
      </c>
      <c r="AU42" s="43">
        <v>0</v>
      </c>
      <c r="AV42" s="43">
        <v>3</v>
      </c>
      <c r="AW42" s="43">
        <v>3</v>
      </c>
      <c r="AX42" s="43">
        <v>6</v>
      </c>
      <c r="AY42" s="43">
        <v>0</v>
      </c>
      <c r="AZ42" s="43">
        <v>0</v>
      </c>
      <c r="BA42" s="43">
        <f t="shared" si="2"/>
        <v>12</v>
      </c>
      <c r="BB42" s="30">
        <f t="shared" si="5"/>
        <v>132</v>
      </c>
      <c r="BN42" s="30">
        <v>42</v>
      </c>
      <c r="BO42" s="30">
        <v>226</v>
      </c>
      <c r="BP42" s="43" t="s">
        <v>1576</v>
      </c>
      <c r="BQ42" s="43">
        <v>14</v>
      </c>
      <c r="BR42" s="372" t="s">
        <v>1656</v>
      </c>
      <c r="BS42" s="372" t="s">
        <v>1576</v>
      </c>
      <c r="BW42" s="425" t="s">
        <v>1657</v>
      </c>
    </row>
    <row r="43" spans="1:75" ht="16" customHeight="1" outlineLevel="1" x14ac:dyDescent="0.25">
      <c r="A43" s="51"/>
      <c r="B43" s="32"/>
      <c r="C43" t="s">
        <v>1658</v>
      </c>
      <c r="D43" s="432" t="s">
        <v>462</v>
      </c>
      <c r="E43" s="126" t="s">
        <v>1119</v>
      </c>
      <c r="G43" s="43">
        <v>3</v>
      </c>
      <c r="H43" s="30"/>
      <c r="AM43" s="43">
        <f t="shared" si="0"/>
        <v>0</v>
      </c>
      <c r="AT43" s="43">
        <f t="shared" si="4"/>
        <v>0</v>
      </c>
      <c r="BA43" s="43">
        <f t="shared" si="2"/>
        <v>0</v>
      </c>
      <c r="BB43" s="30">
        <f t="shared" si="5"/>
        <v>0</v>
      </c>
    </row>
    <row r="44" spans="1:75" ht="21" outlineLevel="1" x14ac:dyDescent="0.25">
      <c r="A44" s="51"/>
      <c r="B44" s="32"/>
      <c r="C44" t="s">
        <v>161</v>
      </c>
      <c r="D44" s="432" t="s">
        <v>446</v>
      </c>
      <c r="E44" s="126" t="s">
        <v>1119</v>
      </c>
      <c r="G44" s="43"/>
      <c r="H44" s="30"/>
      <c r="I44" s="43">
        <v>9</v>
      </c>
      <c r="AM44" s="43">
        <f t="shared" si="0"/>
        <v>0</v>
      </c>
      <c r="AT44" s="43">
        <f t="shared" ref="AT44" si="6">SUM(AN44:AS44)</f>
        <v>0</v>
      </c>
      <c r="BA44" s="43">
        <f t="shared" si="2"/>
        <v>0</v>
      </c>
      <c r="BB44" s="30">
        <f>SUM(AM44+AT44+BA44)</f>
        <v>0</v>
      </c>
    </row>
    <row r="45" spans="1:75" ht="16" customHeight="1" outlineLevel="1" x14ac:dyDescent="0.25">
      <c r="A45" s="51"/>
      <c r="B45" s="32"/>
      <c r="C45" t="s">
        <v>1659</v>
      </c>
      <c r="D45" s="126"/>
      <c r="E45" s="126"/>
      <c r="G45" s="43"/>
      <c r="H45" s="30"/>
      <c r="M45" s="43" t="s">
        <v>1660</v>
      </c>
      <c r="N45" s="268" t="s">
        <v>1661</v>
      </c>
      <c r="O45" s="43" t="s">
        <v>1662</v>
      </c>
      <c r="P45" s="43" t="s">
        <v>314</v>
      </c>
      <c r="Q45" s="433">
        <v>39918</v>
      </c>
      <c r="R45" s="433">
        <v>39918</v>
      </c>
      <c r="S45" s="268" t="s">
        <v>1663</v>
      </c>
      <c r="T45" s="43" t="s">
        <v>1664</v>
      </c>
      <c r="U45" s="268" t="s">
        <v>1665</v>
      </c>
      <c r="V45" s="268" t="s">
        <v>1665</v>
      </c>
      <c r="BQ45" s="43">
        <v>8</v>
      </c>
      <c r="BW45" s="425" t="s">
        <v>1666</v>
      </c>
    </row>
    <row r="46" spans="1:75" ht="10" customHeight="1" outlineLevel="1" x14ac:dyDescent="0.25">
      <c r="A46" s="51"/>
      <c r="B46" s="32"/>
      <c r="G46" s="43"/>
      <c r="H46" s="30"/>
      <c r="I46" s="30"/>
    </row>
    <row r="47" spans="1:75" ht="21" outlineLevel="1" x14ac:dyDescent="0.25">
      <c r="A47" s="51"/>
      <c r="B47" s="32"/>
      <c r="C47" s="31" t="s">
        <v>1345</v>
      </c>
      <c r="D47" s="31"/>
      <c r="E47" s="31"/>
      <c r="F47" s="241"/>
      <c r="G47" s="31"/>
      <c r="H47" s="137"/>
      <c r="I47" s="46">
        <f>SUM(I19:I45)-I37-I43</f>
        <v>13799</v>
      </c>
      <c r="J47" s="434">
        <f>448/3034</f>
        <v>0.14765985497692816</v>
      </c>
    </row>
    <row r="48" spans="1:75" ht="21" outlineLevel="1" x14ac:dyDescent="0.25">
      <c r="A48" s="51"/>
      <c r="B48" s="32"/>
      <c r="C48" s="31" t="s">
        <v>1344</v>
      </c>
      <c r="D48" s="31"/>
      <c r="E48" s="31"/>
      <c r="F48" s="241"/>
      <c r="G48" s="31"/>
      <c r="H48" s="137"/>
      <c r="I48" s="266">
        <f>SUMIF(E13:E45,"Yes",I13:I45)</f>
        <v>6737</v>
      </c>
      <c r="J48" s="434"/>
    </row>
    <row r="49" spans="1:10" ht="22" outlineLevel="1" thickBot="1" x14ac:dyDescent="0.3">
      <c r="A49" s="51"/>
      <c r="B49" s="31" t="s">
        <v>202</v>
      </c>
      <c r="H49" s="60"/>
      <c r="I49" s="50">
        <f>SUM(I19:I45,I13:I16,I10)</f>
        <v>21911</v>
      </c>
    </row>
    <row r="50" spans="1:10" ht="6" customHeight="1" outlineLevel="1" thickTop="1" x14ac:dyDescent="0.25">
      <c r="A50" s="51"/>
      <c r="B50" s="32"/>
      <c r="H50" s="60"/>
      <c r="I50" s="30"/>
    </row>
    <row r="51" spans="1:10" ht="21" outlineLevel="1" x14ac:dyDescent="0.25">
      <c r="A51" s="51"/>
      <c r="B51" s="68" t="s">
        <v>261</v>
      </c>
      <c r="H51" s="60"/>
      <c r="I51" s="30"/>
    </row>
    <row r="52" spans="1:10" ht="21" outlineLevel="1" x14ac:dyDescent="0.25">
      <c r="A52" s="51"/>
      <c r="B52" s="68"/>
      <c r="C52" s="175" t="s">
        <v>1150</v>
      </c>
      <c r="D52" t="s">
        <v>1312</v>
      </c>
      <c r="E52" t="s">
        <v>1119</v>
      </c>
      <c r="F52" s="43" t="s">
        <v>1149</v>
      </c>
      <c r="G52">
        <v>40</v>
      </c>
      <c r="H52" s="60"/>
      <c r="I52" s="30" t="s">
        <v>11</v>
      </c>
      <c r="J52" t="s">
        <v>668</v>
      </c>
    </row>
    <row r="53" spans="1:10" ht="16" customHeight="1" outlineLevel="1" x14ac:dyDescent="0.25">
      <c r="A53" s="51"/>
      <c r="B53" s="31"/>
      <c r="C53" t="s">
        <v>485</v>
      </c>
      <c r="D53" t="s">
        <v>1252</v>
      </c>
      <c r="H53" s="60"/>
      <c r="I53" s="30">
        <v>400</v>
      </c>
    </row>
    <row r="54" spans="1:10" ht="16" customHeight="1" outlineLevel="1" x14ac:dyDescent="0.25">
      <c r="A54" s="51"/>
      <c r="B54" s="31"/>
      <c r="C54" t="s">
        <v>486</v>
      </c>
      <c r="D54" t="s">
        <v>1313</v>
      </c>
      <c r="E54" t="s">
        <v>1119</v>
      </c>
      <c r="H54" s="60"/>
      <c r="I54" s="30" t="s">
        <v>11</v>
      </c>
    </row>
    <row r="55" spans="1:10" ht="16" customHeight="1" outlineLevel="1" x14ac:dyDescent="0.25">
      <c r="A55" s="51"/>
      <c r="B55" s="31"/>
      <c r="C55" s="175" t="s">
        <v>487</v>
      </c>
      <c r="D55" t="s">
        <v>463</v>
      </c>
      <c r="H55" s="60"/>
      <c r="I55" s="30">
        <v>700</v>
      </c>
    </row>
    <row r="56" spans="1:10" ht="6" customHeight="1" outlineLevel="1" x14ac:dyDescent="0.25">
      <c r="A56" s="51"/>
      <c r="H56" s="60"/>
      <c r="I56" s="30"/>
    </row>
    <row r="57" spans="1:10" ht="21" outlineLevel="1" x14ac:dyDescent="0.25">
      <c r="A57" s="51"/>
      <c r="C57" s="31" t="s">
        <v>210</v>
      </c>
      <c r="D57" s="31"/>
      <c r="E57" s="31"/>
      <c r="F57" s="241"/>
      <c r="G57" s="31"/>
      <c r="H57" s="137"/>
      <c r="I57" s="46">
        <f>SUM(I53:I56)</f>
        <v>1100</v>
      </c>
    </row>
    <row r="58" spans="1:10" ht="22" outlineLevel="1" thickBot="1" x14ac:dyDescent="0.3">
      <c r="A58" s="51"/>
      <c r="B58" s="31" t="s">
        <v>202</v>
      </c>
      <c r="H58" s="60"/>
      <c r="I58" s="50">
        <f>I57+I49</f>
        <v>23011</v>
      </c>
    </row>
    <row r="59" spans="1:10" ht="22" outlineLevel="1" thickTop="1" x14ac:dyDescent="0.25">
      <c r="A59" s="51"/>
      <c r="H59" s="60"/>
      <c r="I59" s="30"/>
    </row>
    <row r="60" spans="1:10" ht="21" x14ac:dyDescent="0.25">
      <c r="A60" s="49" t="s">
        <v>200</v>
      </c>
      <c r="H60" s="60"/>
    </row>
    <row r="61" spans="1:10" ht="6" customHeight="1" x14ac:dyDescent="0.25">
      <c r="A61" s="49"/>
      <c r="H61" s="60"/>
    </row>
    <row r="62" spans="1:10" ht="49" thickBot="1" x14ac:dyDescent="0.3">
      <c r="A62" s="49"/>
      <c r="D62" s="38" t="s">
        <v>431</v>
      </c>
      <c r="E62" s="38"/>
      <c r="F62" s="38" t="s">
        <v>430</v>
      </c>
      <c r="G62" s="38" t="s">
        <v>208</v>
      </c>
      <c r="H62" s="185" t="s">
        <v>501</v>
      </c>
      <c r="I62" s="38" t="s">
        <v>211</v>
      </c>
      <c r="J62" s="38" t="s">
        <v>512</v>
      </c>
    </row>
    <row r="63" spans="1:10" ht="6" customHeight="1" x14ac:dyDescent="0.25">
      <c r="A63" s="49"/>
      <c r="H63" s="60"/>
    </row>
    <row r="64" spans="1:10" ht="21" x14ac:dyDescent="0.25">
      <c r="A64" s="51"/>
      <c r="B64" s="31" t="s">
        <v>204</v>
      </c>
      <c r="H64" s="60"/>
      <c r="I64" s="44">
        <v>6227</v>
      </c>
    </row>
    <row r="65" spans="1:75" ht="6" customHeight="1" x14ac:dyDescent="0.25">
      <c r="A65" s="51"/>
      <c r="H65" s="60"/>
      <c r="I65" s="30"/>
    </row>
    <row r="66" spans="1:75" ht="21" outlineLevel="1" x14ac:dyDescent="0.25">
      <c r="A66" s="51"/>
      <c r="B66" s="32" t="s">
        <v>187</v>
      </c>
      <c r="H66" s="60"/>
    </row>
    <row r="67" spans="1:75" ht="21" outlineLevel="1" x14ac:dyDescent="0.25">
      <c r="A67" s="51"/>
      <c r="B67" s="32"/>
      <c r="H67" s="60"/>
      <c r="I67" s="30" t="s">
        <v>11</v>
      </c>
    </row>
    <row r="68" spans="1:75" ht="6" customHeight="1" outlineLevel="1" x14ac:dyDescent="0.25">
      <c r="A68" s="51"/>
      <c r="B68" s="32"/>
      <c r="H68" s="60"/>
      <c r="I68" s="30"/>
    </row>
    <row r="69" spans="1:75" ht="21" x14ac:dyDescent="0.25">
      <c r="A69" s="51"/>
      <c r="B69" s="67" t="s">
        <v>215</v>
      </c>
      <c r="C69" s="56"/>
      <c r="D69" s="56"/>
      <c r="E69" s="56"/>
      <c r="F69" s="57"/>
      <c r="G69" s="56"/>
      <c r="H69" s="156"/>
      <c r="I69" s="56"/>
    </row>
    <row r="70" spans="1:75" ht="6" customHeight="1" outlineLevel="1" x14ac:dyDescent="0.25">
      <c r="A70" s="51"/>
      <c r="B70" s="31"/>
      <c r="H70" s="60"/>
      <c r="I70" s="30"/>
    </row>
    <row r="71" spans="1:75" ht="16" customHeight="1" outlineLevel="1" x14ac:dyDescent="0.25">
      <c r="A71" s="51"/>
      <c r="B71" s="31"/>
      <c r="C71" t="s">
        <v>1349</v>
      </c>
      <c r="D71" t="s">
        <v>457</v>
      </c>
      <c r="E71" t="s">
        <v>1119</v>
      </c>
      <c r="F71" s="43" t="s">
        <v>523</v>
      </c>
      <c r="G71" s="65">
        <v>50</v>
      </c>
      <c r="H71" s="153">
        <v>1796</v>
      </c>
      <c r="I71" s="30">
        <v>3610</v>
      </c>
      <c r="J71" t="s">
        <v>668</v>
      </c>
      <c r="L71" s="311"/>
      <c r="M71" s="43" t="s">
        <v>1667</v>
      </c>
      <c r="N71" s="268" t="s">
        <v>1668</v>
      </c>
      <c r="O71" s="43" t="s">
        <v>1630</v>
      </c>
      <c r="P71" s="268" t="s">
        <v>1669</v>
      </c>
      <c r="Q71" s="364">
        <v>41841</v>
      </c>
      <c r="R71" s="364">
        <v>41841</v>
      </c>
      <c r="S71" s="268" t="s">
        <v>1670</v>
      </c>
      <c r="T71" s="43" t="s">
        <v>67</v>
      </c>
      <c r="U71" s="268" t="s">
        <v>1671</v>
      </c>
      <c r="V71" s="43" t="s">
        <v>1576</v>
      </c>
      <c r="W71" s="43">
        <v>13.6</v>
      </c>
      <c r="X71" s="30">
        <v>3104</v>
      </c>
      <c r="Y71" s="30">
        <v>8224</v>
      </c>
      <c r="Z71" s="43" t="s">
        <v>1590</v>
      </c>
      <c r="AA71" s="43" t="s">
        <v>1576</v>
      </c>
      <c r="AB71" s="43" t="s">
        <v>1576</v>
      </c>
      <c r="AF71" s="43">
        <v>7150</v>
      </c>
      <c r="AG71" s="30"/>
      <c r="AH71" s="435"/>
      <c r="AI71" s="435"/>
      <c r="AJ71" s="435"/>
      <c r="AK71" s="435"/>
      <c r="AL71" s="435"/>
      <c r="AM71" s="435">
        <v>2500</v>
      </c>
      <c r="AN71" s="435">
        <v>0</v>
      </c>
      <c r="AO71" s="435">
        <v>126</v>
      </c>
      <c r="AP71" s="435">
        <v>123</v>
      </c>
      <c r="AQ71" s="435">
        <v>132</v>
      </c>
      <c r="AR71" s="435">
        <v>39</v>
      </c>
      <c r="AS71" s="435">
        <v>24</v>
      </c>
      <c r="AT71" s="435">
        <f>SUM(AN71:AS71)</f>
        <v>444</v>
      </c>
      <c r="AU71" s="435">
        <v>0</v>
      </c>
      <c r="AV71" s="435">
        <v>80</v>
      </c>
      <c r="AW71" s="435">
        <v>64</v>
      </c>
      <c r="AX71" s="435">
        <v>16</v>
      </c>
      <c r="AY71" s="435">
        <v>0</v>
      </c>
      <c r="AZ71" s="435">
        <v>0</v>
      </c>
      <c r="BA71" s="435">
        <f>SUM(AU71:AZ71)</f>
        <v>160</v>
      </c>
      <c r="BB71" s="435">
        <f>SUM(AM71+AT71+BA71)</f>
        <v>3104</v>
      </c>
      <c r="BC71" s="435">
        <v>350</v>
      </c>
      <c r="BD71" s="435"/>
      <c r="BE71" s="435"/>
      <c r="BF71" s="435"/>
      <c r="BG71" s="435"/>
      <c r="BH71" s="435"/>
      <c r="BI71" s="435"/>
      <c r="BJ71" s="435"/>
      <c r="BK71" s="435"/>
      <c r="BL71" s="435"/>
      <c r="BM71" s="435"/>
      <c r="BN71" s="30" t="s">
        <v>1672</v>
      </c>
      <c r="BO71" s="30">
        <v>3000</v>
      </c>
      <c r="BP71" s="43">
        <v>211.5</v>
      </c>
      <c r="BQ71" s="43">
        <v>60</v>
      </c>
      <c r="BR71" s="372" t="s">
        <v>1673</v>
      </c>
      <c r="BS71" s="372" t="s">
        <v>1674</v>
      </c>
      <c r="BW71" s="425" t="s">
        <v>1675</v>
      </c>
    </row>
    <row r="72" spans="1:75" ht="16" customHeight="1" outlineLevel="1" x14ac:dyDescent="0.25">
      <c r="A72" s="51"/>
      <c r="B72" s="31"/>
      <c r="C72" t="s">
        <v>1265</v>
      </c>
      <c r="D72" t="s">
        <v>465</v>
      </c>
      <c r="G72" s="65" t="s">
        <v>11</v>
      </c>
      <c r="H72" s="153"/>
      <c r="I72" s="30">
        <f>2213-517</f>
        <v>1696</v>
      </c>
      <c r="J72" t="s">
        <v>1299</v>
      </c>
      <c r="L72" s="311"/>
    </row>
    <row r="73" spans="1:75" ht="16" customHeight="1" outlineLevel="1" x14ac:dyDescent="0.25">
      <c r="A73" s="51"/>
      <c r="B73" s="31"/>
      <c r="C73" t="s">
        <v>1264</v>
      </c>
      <c r="D73" t="s">
        <v>465</v>
      </c>
      <c r="G73" s="65" t="s">
        <v>11</v>
      </c>
      <c r="H73" s="153"/>
      <c r="I73" s="30">
        <f>2809-607</f>
        <v>2202</v>
      </c>
      <c r="J73" t="s">
        <v>1299</v>
      </c>
      <c r="L73" s="311"/>
    </row>
    <row r="74" spans="1:75" ht="16" customHeight="1" outlineLevel="1" x14ac:dyDescent="0.25">
      <c r="A74" s="51"/>
      <c r="B74" s="31"/>
      <c r="C74" t="s">
        <v>448</v>
      </c>
      <c r="D74" t="s">
        <v>1280</v>
      </c>
      <c r="G74" s="65">
        <v>36</v>
      </c>
      <c r="H74" s="153"/>
      <c r="I74" s="30">
        <v>1357</v>
      </c>
      <c r="J74" t="s">
        <v>1160</v>
      </c>
      <c r="L74" s="311"/>
    </row>
    <row r="75" spans="1:75" ht="16" customHeight="1" outlineLevel="1" x14ac:dyDescent="0.25">
      <c r="A75" s="51"/>
      <c r="B75" s="31"/>
      <c r="C75" t="s">
        <v>1166</v>
      </c>
      <c r="D75" t="s">
        <v>446</v>
      </c>
      <c r="E75" t="s">
        <v>1119</v>
      </c>
      <c r="G75" s="65">
        <v>26</v>
      </c>
      <c r="H75" s="153">
        <v>887</v>
      </c>
      <c r="I75" s="30">
        <v>1706</v>
      </c>
      <c r="J75" t="s">
        <v>519</v>
      </c>
      <c r="L75" s="311"/>
      <c r="M75" s="43" t="s">
        <v>1676</v>
      </c>
      <c r="N75" s="268" t="s">
        <v>1677</v>
      </c>
      <c r="O75" s="43" t="s">
        <v>1678</v>
      </c>
      <c r="P75" s="43" t="s">
        <v>1679</v>
      </c>
      <c r="Q75" s="364">
        <v>40609</v>
      </c>
      <c r="R75" s="364">
        <v>40609</v>
      </c>
      <c r="S75" s="268" t="s">
        <v>1677</v>
      </c>
      <c r="T75" s="43" t="s">
        <v>1424</v>
      </c>
      <c r="U75" s="268" t="s">
        <v>1680</v>
      </c>
      <c r="V75" s="268" t="s">
        <v>1681</v>
      </c>
      <c r="W75" s="43">
        <v>4.6900000000000004</v>
      </c>
      <c r="X75" s="30">
        <v>364</v>
      </c>
      <c r="Y75" s="30">
        <v>887</v>
      </c>
      <c r="Z75" s="43" t="s">
        <v>1682</v>
      </c>
      <c r="AA75" s="43">
        <v>365</v>
      </c>
      <c r="AB75" s="43" t="s">
        <v>1576</v>
      </c>
      <c r="AC75" s="43" t="s">
        <v>1576</v>
      </c>
      <c r="AD75" s="43" t="s">
        <v>1576</v>
      </c>
      <c r="AE75" s="43" t="s">
        <v>1576</v>
      </c>
      <c r="AF75" s="43">
        <v>4905</v>
      </c>
      <c r="AH75" s="43">
        <f>163 + 730</f>
        <v>893</v>
      </c>
      <c r="AI75" s="43">
        <f>131 +292</f>
        <v>423</v>
      </c>
      <c r="AJ75" s="43">
        <f>36+101</f>
        <v>137</v>
      </c>
      <c r="AM75" s="43">
        <f>SUM(AG75:AL75)</f>
        <v>1453</v>
      </c>
      <c r="AO75" s="43">
        <v>45</v>
      </c>
      <c r="AP75" s="43">
        <v>70</v>
      </c>
      <c r="AQ75" s="43">
        <v>92</v>
      </c>
      <c r="AT75" s="43">
        <f>SUM(AN75:AS75)</f>
        <v>207</v>
      </c>
      <c r="AV75" s="43">
        <v>28</v>
      </c>
      <c r="AW75" s="43">
        <v>18</v>
      </c>
      <c r="AX75" s="43">
        <v>0</v>
      </c>
      <c r="AY75" s="43">
        <v>0</v>
      </c>
      <c r="AZ75" s="43">
        <v>0</v>
      </c>
      <c r="BA75" s="43">
        <f>SUM(AU75:AZ75)</f>
        <v>46</v>
      </c>
      <c r="BB75" s="30">
        <f t="shared" ref="BB75:BB78" si="7">SUM(AM75+AT75+BA75)</f>
        <v>1706</v>
      </c>
      <c r="BD75" s="30">
        <v>4502</v>
      </c>
      <c r="BF75" s="30">
        <v>632</v>
      </c>
      <c r="BH75" s="30">
        <v>1852</v>
      </c>
      <c r="BI75" s="30">
        <v>2714</v>
      </c>
      <c r="BJ75" s="30">
        <v>1296</v>
      </c>
      <c r="BK75" s="30">
        <v>4800</v>
      </c>
      <c r="BL75" s="30">
        <v>1801</v>
      </c>
      <c r="BM75" s="30">
        <v>2049</v>
      </c>
      <c r="BN75" s="30">
        <v>629</v>
      </c>
      <c r="BO75" s="30" t="s">
        <v>1576</v>
      </c>
      <c r="BP75" s="43">
        <v>86</v>
      </c>
      <c r="BQ75" s="43">
        <v>27</v>
      </c>
      <c r="BR75" s="372" t="s">
        <v>1683</v>
      </c>
      <c r="BS75" s="372" t="s">
        <v>1576</v>
      </c>
      <c r="BW75" s="425" t="s">
        <v>1684</v>
      </c>
    </row>
    <row r="76" spans="1:75" ht="16" customHeight="1" outlineLevel="1" x14ac:dyDescent="0.25">
      <c r="A76" s="51"/>
      <c r="B76" s="31"/>
      <c r="C76" t="s">
        <v>442</v>
      </c>
      <c r="D76" t="s">
        <v>412</v>
      </c>
      <c r="E76" t="s">
        <v>1119</v>
      </c>
      <c r="F76" s="43" t="s">
        <v>1354</v>
      </c>
      <c r="G76" s="65">
        <v>23</v>
      </c>
      <c r="H76" s="153">
        <v>606</v>
      </c>
      <c r="I76" s="30">
        <v>850</v>
      </c>
      <c r="J76" t="s">
        <v>1130</v>
      </c>
      <c r="L76" s="311"/>
      <c r="M76" s="43" t="s">
        <v>1685</v>
      </c>
      <c r="N76" s="268" t="s">
        <v>1686</v>
      </c>
      <c r="O76" s="43" t="s">
        <v>1687</v>
      </c>
      <c r="P76" s="43" t="s">
        <v>1679</v>
      </c>
      <c r="Q76" s="364">
        <v>41137</v>
      </c>
      <c r="R76" s="364">
        <v>41179</v>
      </c>
      <c r="S76" s="268" t="s">
        <v>1688</v>
      </c>
      <c r="T76" s="43" t="s">
        <v>78</v>
      </c>
      <c r="U76" s="268" t="s">
        <v>1689</v>
      </c>
      <c r="V76" s="43" t="s">
        <v>1690</v>
      </c>
      <c r="W76" s="43">
        <v>4.5</v>
      </c>
      <c r="X76" s="30" t="s">
        <v>1576</v>
      </c>
      <c r="Y76" s="30">
        <v>606</v>
      </c>
      <c r="Z76" s="43">
        <v>4</v>
      </c>
      <c r="AA76" s="43" t="s">
        <v>1576</v>
      </c>
      <c r="AB76" s="43">
        <v>381</v>
      </c>
      <c r="AC76" s="43">
        <v>14.2</v>
      </c>
      <c r="AD76" s="43">
        <v>12.4</v>
      </c>
      <c r="AE76" s="43" t="s">
        <v>1576</v>
      </c>
      <c r="AF76" s="43">
        <v>2660</v>
      </c>
      <c r="AG76" s="43">
        <v>0</v>
      </c>
      <c r="AH76" s="43">
        <v>261</v>
      </c>
      <c r="AI76" s="43">
        <v>218</v>
      </c>
      <c r="AJ76" s="43">
        <v>147</v>
      </c>
      <c r="AK76" s="43">
        <v>0</v>
      </c>
      <c r="AL76" s="43">
        <v>0</v>
      </c>
      <c r="AM76" s="43">
        <f>SUM(AG76:AL76)</f>
        <v>626</v>
      </c>
      <c r="AN76" s="43">
        <v>0</v>
      </c>
      <c r="AO76" s="43">
        <v>22</v>
      </c>
      <c r="AP76" s="43">
        <v>45</v>
      </c>
      <c r="AQ76" s="43">
        <v>44</v>
      </c>
      <c r="AR76" s="43">
        <v>18</v>
      </c>
      <c r="AS76" s="43">
        <v>9</v>
      </c>
      <c r="AT76" s="43">
        <f>SUM(AN76:AS76)</f>
        <v>138</v>
      </c>
      <c r="AU76" s="43">
        <v>0</v>
      </c>
      <c r="AV76" s="43">
        <v>33</v>
      </c>
      <c r="AW76" s="43">
        <v>33</v>
      </c>
      <c r="AX76" s="43">
        <v>12</v>
      </c>
      <c r="AY76" s="43">
        <v>8</v>
      </c>
      <c r="AZ76" s="43">
        <v>0</v>
      </c>
      <c r="BA76" s="43">
        <f>SUM(AU76:AZ76)</f>
        <v>86</v>
      </c>
      <c r="BB76" s="30">
        <f t="shared" si="7"/>
        <v>850</v>
      </c>
      <c r="BN76" s="30">
        <v>755</v>
      </c>
      <c r="BO76" s="30">
        <v>1255</v>
      </c>
      <c r="BP76" s="43">
        <v>86.65</v>
      </c>
      <c r="BQ76" s="43">
        <v>23</v>
      </c>
      <c r="BR76" s="372" t="s">
        <v>1691</v>
      </c>
      <c r="BS76" s="372" t="s">
        <v>1576</v>
      </c>
      <c r="BW76" s="425" t="s">
        <v>1692</v>
      </c>
    </row>
    <row r="77" spans="1:75" ht="16" customHeight="1" outlineLevel="1" x14ac:dyDescent="0.25">
      <c r="A77" s="51"/>
      <c r="B77" s="31"/>
      <c r="C77" t="s">
        <v>476</v>
      </c>
      <c r="D77" t="s">
        <v>447</v>
      </c>
      <c r="G77" s="65">
        <v>30</v>
      </c>
      <c r="H77" s="153"/>
      <c r="I77" s="30">
        <v>834</v>
      </c>
      <c r="J77" t="s">
        <v>518</v>
      </c>
      <c r="L77" s="311"/>
      <c r="BB77" s="30">
        <f t="shared" si="7"/>
        <v>0</v>
      </c>
    </row>
    <row r="78" spans="1:75" ht="16" customHeight="1" outlineLevel="1" x14ac:dyDescent="0.25">
      <c r="A78" s="51"/>
      <c r="B78" s="31"/>
      <c r="C78" t="s">
        <v>129</v>
      </c>
      <c r="D78" t="s">
        <v>76</v>
      </c>
      <c r="G78" s="65">
        <v>29</v>
      </c>
      <c r="H78" s="153"/>
      <c r="I78" s="30">
        <v>716</v>
      </c>
      <c r="L78" s="311"/>
      <c r="BB78" s="30">
        <f t="shared" si="7"/>
        <v>0</v>
      </c>
    </row>
    <row r="79" spans="1:75" ht="16" customHeight="1" outlineLevel="1" x14ac:dyDescent="0.25">
      <c r="A79" s="51"/>
      <c r="B79" s="31"/>
      <c r="C79" t="s">
        <v>450</v>
      </c>
      <c r="D79" t="s">
        <v>446</v>
      </c>
      <c r="E79" t="s">
        <v>1119</v>
      </c>
      <c r="F79" s="43" t="s">
        <v>1356</v>
      </c>
      <c r="G79" s="65">
        <v>43</v>
      </c>
      <c r="H79" s="153">
        <v>1429</v>
      </c>
      <c r="I79" s="30">
        <v>484</v>
      </c>
      <c r="J79" t="s">
        <v>518</v>
      </c>
      <c r="L79" s="311"/>
      <c r="M79" s="43" t="s">
        <v>1693</v>
      </c>
      <c r="N79" s="268" t="s">
        <v>1694</v>
      </c>
      <c r="O79" s="43" t="s">
        <v>1695</v>
      </c>
      <c r="P79" s="43" t="s">
        <v>1696</v>
      </c>
      <c r="Q79" s="364">
        <v>39478</v>
      </c>
      <c r="R79" s="364">
        <v>39478</v>
      </c>
      <c r="S79" s="268" t="s">
        <v>1694</v>
      </c>
      <c r="T79" s="43" t="s">
        <v>1424</v>
      </c>
      <c r="U79" s="268" t="s">
        <v>1697</v>
      </c>
      <c r="V79" s="268" t="s">
        <v>1697</v>
      </c>
      <c r="W79" s="43">
        <v>0.89</v>
      </c>
      <c r="X79" s="43" t="s">
        <v>1576</v>
      </c>
      <c r="Y79" s="30">
        <v>1429</v>
      </c>
      <c r="Z79" s="43">
        <v>4</v>
      </c>
      <c r="AA79" s="43" t="s">
        <v>1576</v>
      </c>
      <c r="AB79" s="43" t="s">
        <v>1576</v>
      </c>
      <c r="AC79" s="43" t="s">
        <v>1576</v>
      </c>
      <c r="AD79" s="43" t="s">
        <v>1576</v>
      </c>
      <c r="AE79" s="43" t="s">
        <v>1576</v>
      </c>
      <c r="AF79" s="43">
        <v>450</v>
      </c>
      <c r="AG79" s="43">
        <v>58</v>
      </c>
      <c r="AH79" s="43">
        <v>161</v>
      </c>
      <c r="AI79" s="43">
        <v>136</v>
      </c>
      <c r="AJ79" s="43">
        <v>33</v>
      </c>
      <c r="AK79" s="43">
        <v>1</v>
      </c>
      <c r="AL79" s="43">
        <v>0</v>
      </c>
      <c r="AM79" s="43">
        <f>SUM(AG79:AL79)</f>
        <v>389</v>
      </c>
      <c r="AN79" s="43">
        <v>0</v>
      </c>
      <c r="AO79" s="43">
        <v>5</v>
      </c>
      <c r="AP79" s="43">
        <v>21</v>
      </c>
      <c r="AQ79" s="43">
        <v>25</v>
      </c>
      <c r="AR79" s="43">
        <v>11</v>
      </c>
      <c r="AS79" s="43">
        <v>3</v>
      </c>
      <c r="AT79" s="43">
        <f>SUM(AN79:AS79)</f>
        <v>65</v>
      </c>
      <c r="AU79" s="43">
        <v>0</v>
      </c>
      <c r="AV79" s="43">
        <v>19</v>
      </c>
      <c r="AW79" s="43">
        <v>13</v>
      </c>
      <c r="AX79" s="43">
        <v>0</v>
      </c>
      <c r="AY79" s="43">
        <v>0</v>
      </c>
      <c r="AZ79" s="43">
        <v>0</v>
      </c>
      <c r="BA79" s="43">
        <f>SUM(AU79:AZ79)</f>
        <v>32</v>
      </c>
      <c r="BB79" s="30">
        <f>SUM(AM79+AT79+BA79)</f>
        <v>486</v>
      </c>
      <c r="BN79" s="30">
        <v>221</v>
      </c>
      <c r="BO79" s="30">
        <v>250</v>
      </c>
      <c r="BP79" s="43">
        <v>44</v>
      </c>
      <c r="BQ79" s="43">
        <v>142.19999999999999</v>
      </c>
      <c r="BS79" s="372" t="s">
        <v>1576</v>
      </c>
      <c r="BW79" s="425" t="s">
        <v>1698</v>
      </c>
    </row>
    <row r="80" spans="1:75" ht="16" customHeight="1" outlineLevel="1" x14ac:dyDescent="0.25">
      <c r="A80" s="51"/>
      <c r="B80" s="31"/>
      <c r="C80" s="175" t="s">
        <v>113</v>
      </c>
      <c r="D80" t="s">
        <v>1314</v>
      </c>
      <c r="G80" s="65" t="s">
        <v>11</v>
      </c>
      <c r="H80" s="153"/>
      <c r="I80" s="30">
        <v>425</v>
      </c>
      <c r="J80" t="s">
        <v>1278</v>
      </c>
      <c r="L80" s="311"/>
    </row>
    <row r="81" spans="1:75" ht="16" customHeight="1" outlineLevel="1" x14ac:dyDescent="0.25">
      <c r="A81" s="51"/>
      <c r="B81" s="31"/>
      <c r="C81" s="175" t="s">
        <v>466</v>
      </c>
      <c r="D81" t="s">
        <v>455</v>
      </c>
      <c r="E81" t="s">
        <v>1119</v>
      </c>
      <c r="F81" s="43" t="s">
        <v>500</v>
      </c>
      <c r="G81" s="65">
        <v>53</v>
      </c>
      <c r="H81" s="153">
        <v>2850</v>
      </c>
      <c r="I81" s="30">
        <v>423</v>
      </c>
      <c r="J81" t="s">
        <v>515</v>
      </c>
      <c r="L81" s="311"/>
      <c r="M81" s="43" t="s">
        <v>1699</v>
      </c>
      <c r="N81" s="436" t="s">
        <v>1700</v>
      </c>
      <c r="O81" s="43" t="s">
        <v>1701</v>
      </c>
      <c r="P81" s="43" t="s">
        <v>1679</v>
      </c>
      <c r="Q81" s="364">
        <v>42033</v>
      </c>
      <c r="R81" s="364">
        <v>42033</v>
      </c>
      <c r="S81" s="268" t="s">
        <v>1702</v>
      </c>
      <c r="T81" s="43" t="s">
        <v>1424</v>
      </c>
      <c r="U81" s="268" t="s">
        <v>1703</v>
      </c>
      <c r="V81" s="43" t="s">
        <v>1690</v>
      </c>
      <c r="W81" s="43">
        <v>0.38</v>
      </c>
      <c r="X81" s="30" t="s">
        <v>1576</v>
      </c>
      <c r="Y81" s="30">
        <v>2850</v>
      </c>
      <c r="Z81" s="43">
        <v>4</v>
      </c>
      <c r="AA81" s="43" t="s">
        <v>1576</v>
      </c>
      <c r="AB81" s="43" t="s">
        <v>1576</v>
      </c>
      <c r="AC81" s="43">
        <v>52.6</v>
      </c>
      <c r="AD81" s="43">
        <v>34.299999999999997</v>
      </c>
      <c r="AE81" s="43">
        <v>18.399999999999999</v>
      </c>
      <c r="AF81" s="43">
        <v>1053</v>
      </c>
      <c r="AG81" s="43">
        <v>35</v>
      </c>
      <c r="AH81" s="43">
        <v>136</v>
      </c>
      <c r="AI81" s="43">
        <v>136</v>
      </c>
      <c r="AJ81" s="43">
        <v>12</v>
      </c>
      <c r="AK81" s="43">
        <v>0</v>
      </c>
      <c r="AL81" s="43">
        <v>0</v>
      </c>
      <c r="AM81" s="43">
        <f>SUM(AG81:AL81)</f>
        <v>319</v>
      </c>
      <c r="AN81" s="43">
        <v>0</v>
      </c>
      <c r="AO81" s="43">
        <v>8</v>
      </c>
      <c r="AP81" s="43">
        <v>22</v>
      </c>
      <c r="AQ81" s="43">
        <v>28</v>
      </c>
      <c r="AR81" s="43">
        <v>0</v>
      </c>
      <c r="AS81" s="43">
        <v>0</v>
      </c>
      <c r="AT81" s="43">
        <f>SUM(AN81:AS81)</f>
        <v>58</v>
      </c>
      <c r="AU81" s="43">
        <v>0</v>
      </c>
      <c r="AV81" s="43">
        <v>16</v>
      </c>
      <c r="AW81" s="43">
        <v>26</v>
      </c>
      <c r="AX81" s="43">
        <v>4</v>
      </c>
      <c r="AY81" s="43">
        <v>0</v>
      </c>
      <c r="AZ81" s="43">
        <v>0</v>
      </c>
      <c r="BA81" s="43">
        <f>SUM(AU81:AZ81)</f>
        <v>46</v>
      </c>
      <c r="BB81" s="30">
        <f>SUM(AM81+AT81+BA81)</f>
        <v>423</v>
      </c>
      <c r="BN81" s="30">
        <v>30</v>
      </c>
      <c r="BO81" s="30">
        <v>481</v>
      </c>
      <c r="BP81" s="43">
        <v>187</v>
      </c>
      <c r="BQ81" s="43">
        <v>53</v>
      </c>
      <c r="BR81" s="372" t="s">
        <v>1704</v>
      </c>
      <c r="BS81" s="372" t="s">
        <v>1705</v>
      </c>
      <c r="BW81" s="425" t="s">
        <v>1706</v>
      </c>
    </row>
    <row r="82" spans="1:75" ht="16" customHeight="1" outlineLevel="1" x14ac:dyDescent="0.25">
      <c r="A82" s="51"/>
      <c r="B82" s="31"/>
      <c r="C82" t="s">
        <v>1341</v>
      </c>
      <c r="D82" t="s">
        <v>446</v>
      </c>
      <c r="E82" t="s">
        <v>1119</v>
      </c>
      <c r="G82" s="65">
        <v>35</v>
      </c>
      <c r="H82" s="153">
        <v>2558</v>
      </c>
      <c r="I82" s="30">
        <v>414</v>
      </c>
      <c r="J82" t="s">
        <v>521</v>
      </c>
      <c r="L82" s="311"/>
      <c r="M82" s="43" t="s">
        <v>1707</v>
      </c>
      <c r="N82" s="268" t="s">
        <v>1708</v>
      </c>
      <c r="O82" s="43" t="s">
        <v>1709</v>
      </c>
      <c r="P82" s="43" t="s">
        <v>1679</v>
      </c>
      <c r="Q82" s="364">
        <v>39918</v>
      </c>
      <c r="R82" s="364">
        <v>40029</v>
      </c>
      <c r="S82" s="268" t="s">
        <v>1708</v>
      </c>
      <c r="T82" s="43" t="s">
        <v>1424</v>
      </c>
      <c r="U82" s="268" t="s">
        <v>1710</v>
      </c>
      <c r="V82" s="268" t="s">
        <v>1710</v>
      </c>
      <c r="W82" s="43">
        <v>0.4</v>
      </c>
      <c r="X82" s="30" t="s">
        <v>1576</v>
      </c>
      <c r="Y82" s="437">
        <v>2557.5</v>
      </c>
      <c r="Z82" s="43" t="s">
        <v>535</v>
      </c>
      <c r="AA82" s="43" t="s">
        <v>1576</v>
      </c>
      <c r="AB82" s="43" t="s">
        <v>1576</v>
      </c>
      <c r="AC82" s="43" t="s">
        <v>1576</v>
      </c>
      <c r="AD82" s="43" t="s">
        <v>1576</v>
      </c>
      <c r="AE82" s="43" t="s">
        <v>1576</v>
      </c>
      <c r="AF82" s="43">
        <v>380</v>
      </c>
      <c r="AG82" s="43">
        <v>66</v>
      </c>
      <c r="AH82" s="43">
        <v>87</v>
      </c>
      <c r="AI82" s="43">
        <v>149</v>
      </c>
      <c r="AJ82" s="43">
        <v>43</v>
      </c>
      <c r="AK82" s="43">
        <v>0</v>
      </c>
      <c r="AL82" s="43">
        <v>0</v>
      </c>
      <c r="AM82" s="43">
        <f>SUM(AG82:AL82)</f>
        <v>345</v>
      </c>
      <c r="AN82" s="43">
        <v>0</v>
      </c>
      <c r="AO82" s="43">
        <v>2</v>
      </c>
      <c r="AP82" s="43">
        <v>7</v>
      </c>
      <c r="AQ82" s="43">
        <v>0</v>
      </c>
      <c r="AR82" s="43">
        <v>0</v>
      </c>
      <c r="AS82" s="43">
        <v>0</v>
      </c>
      <c r="AT82" s="43">
        <f>SUM(AN82:AS82)</f>
        <v>9</v>
      </c>
      <c r="AU82" s="43">
        <v>10</v>
      </c>
      <c r="AV82" s="43">
        <v>21</v>
      </c>
      <c r="AW82" s="43">
        <v>29</v>
      </c>
      <c r="AX82" s="43">
        <v>0</v>
      </c>
      <c r="AY82" s="43">
        <v>0</v>
      </c>
      <c r="AZ82" s="43">
        <v>0</v>
      </c>
      <c r="BA82" s="43">
        <f>SUM(AU82:AZ82)</f>
        <v>60</v>
      </c>
      <c r="BB82" s="30">
        <f>SUM(AM82+AT82+BA82)</f>
        <v>414</v>
      </c>
      <c r="BN82" s="30">
        <v>97</v>
      </c>
      <c r="BO82" s="30">
        <v>407</v>
      </c>
      <c r="BP82" s="43" t="s">
        <v>1576</v>
      </c>
      <c r="BQ82" s="43">
        <v>35</v>
      </c>
      <c r="BR82" s="372" t="s">
        <v>1576</v>
      </c>
      <c r="BS82" s="372" t="s">
        <v>1576</v>
      </c>
      <c r="BW82" s="425" t="s">
        <v>1711</v>
      </c>
    </row>
    <row r="83" spans="1:75" ht="16" customHeight="1" outlineLevel="1" x14ac:dyDescent="0.25">
      <c r="A83" s="51"/>
      <c r="B83" s="31"/>
      <c r="C83" t="s">
        <v>1337</v>
      </c>
      <c r="D83" t="s">
        <v>446</v>
      </c>
      <c r="E83" t="s">
        <v>1119</v>
      </c>
      <c r="F83" s="43" t="s">
        <v>525</v>
      </c>
      <c r="G83" s="65">
        <v>45</v>
      </c>
      <c r="H83" s="153"/>
      <c r="I83" s="30">
        <v>330</v>
      </c>
      <c r="J83" t="s">
        <v>529</v>
      </c>
      <c r="L83" s="311"/>
    </row>
    <row r="84" spans="1:75" ht="16" customHeight="1" outlineLevel="1" x14ac:dyDescent="0.25">
      <c r="A84" s="51"/>
      <c r="B84" s="31"/>
      <c r="C84" t="s">
        <v>1151</v>
      </c>
      <c r="D84" t="s">
        <v>446</v>
      </c>
      <c r="E84" t="s">
        <v>1119</v>
      </c>
      <c r="G84" s="65">
        <v>14</v>
      </c>
      <c r="H84" s="153"/>
      <c r="I84" s="30">
        <v>210</v>
      </c>
      <c r="L84" s="311"/>
      <c r="M84" s="43" t="s">
        <v>1712</v>
      </c>
      <c r="N84" s="268" t="s">
        <v>1713</v>
      </c>
      <c r="O84" s="43" t="s">
        <v>1714</v>
      </c>
      <c r="P84" s="43" t="s">
        <v>1679</v>
      </c>
      <c r="Q84" s="364">
        <v>41221</v>
      </c>
      <c r="R84" s="364">
        <v>41221</v>
      </c>
      <c r="S84" s="268" t="s">
        <v>1713</v>
      </c>
      <c r="T84" s="43" t="s">
        <v>1424</v>
      </c>
      <c r="U84" s="43" t="s">
        <v>1715</v>
      </c>
      <c r="V84" s="43" t="s">
        <v>1715</v>
      </c>
      <c r="W84" s="43">
        <v>1.7</v>
      </c>
      <c r="X84" s="30" t="s">
        <v>1576</v>
      </c>
      <c r="Y84" s="30">
        <v>722</v>
      </c>
      <c r="Z84" s="43" t="s">
        <v>534</v>
      </c>
      <c r="AA84" s="43" t="s">
        <v>1576</v>
      </c>
      <c r="AB84" s="43" t="s">
        <v>1576</v>
      </c>
      <c r="AC84" s="43" t="s">
        <v>1576</v>
      </c>
      <c r="AD84" s="43" t="s">
        <v>1576</v>
      </c>
      <c r="AE84" s="43" t="s">
        <v>1576</v>
      </c>
      <c r="AF84" s="43">
        <v>5179</v>
      </c>
      <c r="AG84" s="43">
        <v>0</v>
      </c>
      <c r="AH84" s="43">
        <v>52</v>
      </c>
      <c r="AI84" s="43">
        <v>85</v>
      </c>
      <c r="AJ84" s="43">
        <v>20</v>
      </c>
      <c r="AK84" s="43">
        <v>0</v>
      </c>
      <c r="AL84" s="43">
        <v>0</v>
      </c>
      <c r="AM84" s="43">
        <f>SUM(AG84:AL84)</f>
        <v>157</v>
      </c>
      <c r="AN84" s="43">
        <v>0</v>
      </c>
      <c r="AO84" s="43">
        <v>52</v>
      </c>
      <c r="AP84" s="43">
        <v>75</v>
      </c>
      <c r="AQ84" s="43">
        <v>38</v>
      </c>
      <c r="AR84" s="43">
        <v>30</v>
      </c>
      <c r="AS84" s="43">
        <v>0</v>
      </c>
      <c r="AT84" s="43">
        <f>SUM(AN84:AS84)</f>
        <v>195</v>
      </c>
      <c r="AU84" s="43">
        <v>0</v>
      </c>
      <c r="AV84" s="43">
        <v>15</v>
      </c>
      <c r="AW84" s="43">
        <v>30</v>
      </c>
      <c r="AX84" s="43">
        <v>2</v>
      </c>
      <c r="AY84" s="43">
        <v>0</v>
      </c>
      <c r="AZ84" s="43">
        <v>0</v>
      </c>
      <c r="BA84" s="43">
        <f>SUM(AU84:AZ84)</f>
        <v>47</v>
      </c>
      <c r="BB84" s="30">
        <f>SUM(AM84+AT84+BA84)</f>
        <v>399</v>
      </c>
      <c r="BN84" s="30">
        <v>189</v>
      </c>
      <c r="BO84" s="30">
        <v>498</v>
      </c>
      <c r="BP84" s="43" t="s">
        <v>1576</v>
      </c>
      <c r="BQ84" s="43">
        <v>14</v>
      </c>
      <c r="BR84" s="372" t="s">
        <v>1716</v>
      </c>
      <c r="BS84" s="372" t="s">
        <v>1717</v>
      </c>
      <c r="BW84" s="425" t="s">
        <v>1718</v>
      </c>
    </row>
    <row r="85" spans="1:75" ht="16" customHeight="1" outlineLevel="1" x14ac:dyDescent="0.25">
      <c r="A85" s="51"/>
      <c r="B85" s="31"/>
      <c r="C85" t="s">
        <v>1336</v>
      </c>
      <c r="D85" t="s">
        <v>446</v>
      </c>
      <c r="E85" t="s">
        <v>1119</v>
      </c>
      <c r="G85" s="65">
        <v>26</v>
      </c>
      <c r="H85" s="153">
        <v>2103</v>
      </c>
      <c r="I85" s="30">
        <v>190</v>
      </c>
      <c r="L85" s="311"/>
      <c r="M85" s="43" t="s">
        <v>1719</v>
      </c>
      <c r="N85" s="268" t="s">
        <v>1720</v>
      </c>
      <c r="O85" s="43" t="s">
        <v>1721</v>
      </c>
      <c r="P85" s="43" t="s">
        <v>1722</v>
      </c>
      <c r="Q85" s="433" t="s">
        <v>1723</v>
      </c>
      <c r="R85" s="364">
        <v>41298</v>
      </c>
      <c r="S85" s="268" t="s">
        <v>1720</v>
      </c>
      <c r="T85" s="43" t="s">
        <v>1424</v>
      </c>
      <c r="U85" s="43" t="s">
        <v>1724</v>
      </c>
      <c r="V85" s="43" t="s">
        <v>1725</v>
      </c>
      <c r="W85" s="43">
        <v>0.25</v>
      </c>
      <c r="X85" s="30" t="s">
        <v>1576</v>
      </c>
      <c r="Y85" s="30">
        <v>2103</v>
      </c>
      <c r="Z85" s="43">
        <v>5</v>
      </c>
      <c r="AA85" s="43">
        <v>67</v>
      </c>
      <c r="AB85" s="43" t="s">
        <v>1576</v>
      </c>
      <c r="AC85" s="43">
        <v>26</v>
      </c>
      <c r="AD85" s="43">
        <v>24</v>
      </c>
      <c r="AE85" s="43">
        <v>17</v>
      </c>
      <c r="AF85" s="43">
        <v>670</v>
      </c>
      <c r="AG85" s="43">
        <v>0</v>
      </c>
      <c r="AH85" s="43">
        <v>56</v>
      </c>
      <c r="AI85" s="43">
        <v>41</v>
      </c>
      <c r="AJ85" s="43">
        <v>34</v>
      </c>
      <c r="AK85" s="43">
        <v>0</v>
      </c>
      <c r="AL85" s="43">
        <v>0</v>
      </c>
      <c r="AM85" s="43">
        <f>SUM(AG85:AL85)</f>
        <v>131</v>
      </c>
      <c r="AN85" s="43">
        <v>6</v>
      </c>
      <c r="AO85" s="43">
        <v>8</v>
      </c>
      <c r="AP85" s="43">
        <v>12</v>
      </c>
      <c r="AQ85" s="43">
        <v>2</v>
      </c>
      <c r="AR85" s="43">
        <v>2</v>
      </c>
      <c r="AS85" s="43">
        <v>0</v>
      </c>
      <c r="AT85" s="43">
        <f>SUM(AN85:AS85)</f>
        <v>30</v>
      </c>
      <c r="AU85" s="43">
        <v>0</v>
      </c>
      <c r="AV85" s="43">
        <v>16</v>
      </c>
      <c r="AW85" s="43">
        <v>9</v>
      </c>
      <c r="AX85" s="43">
        <v>4</v>
      </c>
      <c r="AY85" s="43">
        <v>0</v>
      </c>
      <c r="AZ85" s="43">
        <v>0</v>
      </c>
      <c r="BA85" s="43">
        <f>SUM(AU85:AZ85)</f>
        <v>29</v>
      </c>
      <c r="BB85" s="30">
        <f>SUM(AM85+AT85+BA85)</f>
        <v>190</v>
      </c>
      <c r="BN85" s="30">
        <v>42</v>
      </c>
      <c r="BO85" s="30">
        <v>244</v>
      </c>
      <c r="BP85" s="43" t="s">
        <v>1576</v>
      </c>
      <c r="BQ85" s="43">
        <v>26</v>
      </c>
      <c r="BR85" s="372" t="s">
        <v>1726</v>
      </c>
      <c r="BS85" s="372" t="s">
        <v>1727</v>
      </c>
      <c r="BW85" s="425" t="s">
        <v>1728</v>
      </c>
    </row>
    <row r="86" spans="1:75" ht="16" customHeight="1" outlineLevel="1" x14ac:dyDescent="0.25">
      <c r="A86" s="51"/>
      <c r="B86" s="31"/>
      <c r="C86" t="s">
        <v>1338</v>
      </c>
      <c r="D86" t="s">
        <v>412</v>
      </c>
      <c r="E86" t="s">
        <v>1119</v>
      </c>
      <c r="G86" s="65">
        <v>29</v>
      </c>
      <c r="H86" s="153">
        <v>1320</v>
      </c>
      <c r="I86" s="30">
        <v>167</v>
      </c>
      <c r="J86" t="s">
        <v>522</v>
      </c>
      <c r="L86" s="311"/>
      <c r="M86" s="43" t="s">
        <v>1729</v>
      </c>
      <c r="N86" s="268" t="s">
        <v>1730</v>
      </c>
      <c r="O86" s="43" t="s">
        <v>1731</v>
      </c>
      <c r="P86" s="43" t="s">
        <v>1679</v>
      </c>
      <c r="Q86" s="364">
        <v>41907</v>
      </c>
      <c r="R86" s="364">
        <v>41907</v>
      </c>
      <c r="S86" s="43" t="s">
        <v>1732</v>
      </c>
      <c r="T86" s="43" t="s">
        <v>1733</v>
      </c>
      <c r="U86" s="268" t="s">
        <v>1734</v>
      </c>
      <c r="V86" s="268" t="s">
        <v>1734</v>
      </c>
      <c r="W86" s="43">
        <v>0.28999999999999998</v>
      </c>
      <c r="X86" s="30">
        <v>462</v>
      </c>
      <c r="Y86" s="30">
        <v>1320</v>
      </c>
      <c r="Z86" s="43">
        <v>4</v>
      </c>
      <c r="AA86" s="43" t="s">
        <v>1576</v>
      </c>
      <c r="AB86" s="43" t="s">
        <v>1576</v>
      </c>
      <c r="AC86" s="43" t="s">
        <v>1576</v>
      </c>
      <c r="AD86" s="43" t="s">
        <v>1576</v>
      </c>
      <c r="AE86" s="43" t="s">
        <v>1576</v>
      </c>
      <c r="AF86" s="43">
        <v>436</v>
      </c>
      <c r="AM86" s="43">
        <v>93</v>
      </c>
      <c r="AO86" s="43">
        <v>1</v>
      </c>
      <c r="AQ86" s="43">
        <v>8</v>
      </c>
      <c r="AR86" s="43">
        <v>2</v>
      </c>
      <c r="AT86" s="43">
        <v>20</v>
      </c>
      <c r="BA86" s="43">
        <v>21</v>
      </c>
      <c r="BB86" s="30">
        <f>SUM(AM86+AT86+BA86)</f>
        <v>134</v>
      </c>
      <c r="BN86" s="30">
        <v>14</v>
      </c>
      <c r="BO86" s="30">
        <v>168</v>
      </c>
      <c r="BP86" s="43" t="s">
        <v>1576</v>
      </c>
      <c r="BQ86" s="43">
        <v>23</v>
      </c>
      <c r="BR86" s="372" t="s">
        <v>1735</v>
      </c>
      <c r="BS86" s="372" t="s">
        <v>1736</v>
      </c>
      <c r="BW86" s="425" t="s">
        <v>1737</v>
      </c>
    </row>
    <row r="87" spans="1:75" ht="16" customHeight="1" outlineLevel="1" x14ac:dyDescent="0.25">
      <c r="A87" s="51"/>
      <c r="B87" s="31"/>
      <c r="C87" s="175" t="s">
        <v>1738</v>
      </c>
      <c r="D87" t="s">
        <v>446</v>
      </c>
      <c r="E87" t="s">
        <v>1119</v>
      </c>
      <c r="G87" s="65">
        <v>31</v>
      </c>
      <c r="H87" s="153">
        <v>1123</v>
      </c>
      <c r="I87" s="30">
        <v>121</v>
      </c>
      <c r="L87" s="311"/>
      <c r="M87" s="43" t="s">
        <v>1739</v>
      </c>
      <c r="N87" s="268" t="s">
        <v>1740</v>
      </c>
      <c r="O87" s="43" t="s">
        <v>1678</v>
      </c>
      <c r="P87" s="43" t="s">
        <v>1741</v>
      </c>
      <c r="Q87" s="364">
        <v>40974</v>
      </c>
      <c r="R87" s="364">
        <v>40974</v>
      </c>
      <c r="S87" s="268" t="s">
        <v>1740</v>
      </c>
      <c r="T87" s="43" t="s">
        <v>1424</v>
      </c>
      <c r="U87" s="268" t="s">
        <v>1742</v>
      </c>
      <c r="V87" s="268" t="s">
        <v>1743</v>
      </c>
      <c r="X87" s="30" t="s">
        <v>1576</v>
      </c>
      <c r="Y87" s="30">
        <v>1122</v>
      </c>
      <c r="Z87" s="43">
        <v>3</v>
      </c>
      <c r="AA87" s="43" t="s">
        <v>1576</v>
      </c>
      <c r="AB87" s="43">
        <v>12</v>
      </c>
      <c r="AC87" s="43">
        <v>12</v>
      </c>
      <c r="AD87" s="43" t="s">
        <v>1576</v>
      </c>
      <c r="AE87" s="43" t="s">
        <v>1576</v>
      </c>
      <c r="AF87" s="43">
        <v>120</v>
      </c>
      <c r="AG87" s="43">
        <v>15</v>
      </c>
      <c r="AH87" s="43">
        <v>40</v>
      </c>
      <c r="AI87" s="43">
        <v>38</v>
      </c>
      <c r="AJ87" s="43">
        <v>17</v>
      </c>
      <c r="AK87" s="43">
        <v>1</v>
      </c>
      <c r="AL87" s="43">
        <v>0</v>
      </c>
      <c r="AM87" s="43">
        <f>SUM(AG87:AL87)</f>
        <v>111</v>
      </c>
      <c r="AN87" s="43">
        <v>0</v>
      </c>
      <c r="AO87" s="43">
        <v>0</v>
      </c>
      <c r="AP87" s="43">
        <v>0</v>
      </c>
      <c r="AQ87" s="43">
        <v>0</v>
      </c>
      <c r="AR87" s="43">
        <v>0</v>
      </c>
      <c r="AS87" s="43">
        <v>0</v>
      </c>
      <c r="AT87" s="43">
        <f>SUM(AN87:AS87)</f>
        <v>0</v>
      </c>
      <c r="AU87" s="43">
        <v>0</v>
      </c>
      <c r="AV87" s="43">
        <v>8</v>
      </c>
      <c r="AW87" s="43">
        <v>2</v>
      </c>
      <c r="AX87" s="43">
        <v>0</v>
      </c>
      <c r="AY87" s="43">
        <v>0</v>
      </c>
      <c r="AZ87" s="43">
        <v>0</v>
      </c>
      <c r="BA87" s="43">
        <f>SUM(AU87:AZ87)</f>
        <v>10</v>
      </c>
      <c r="BB87" s="30">
        <f t="shared" ref="BB87:BB90" si="8">SUM(AM87+AT87+BA87)</f>
        <v>121</v>
      </c>
      <c r="BN87" s="30">
        <v>36</v>
      </c>
      <c r="BO87" s="30">
        <v>195</v>
      </c>
      <c r="BP87" s="43" t="s">
        <v>1576</v>
      </c>
      <c r="BQ87" s="43">
        <v>31</v>
      </c>
      <c r="BR87" s="372" t="s">
        <v>1744</v>
      </c>
      <c r="BS87" s="372" t="s">
        <v>1576</v>
      </c>
      <c r="BW87" s="425" t="s">
        <v>1745</v>
      </c>
    </row>
    <row r="88" spans="1:75" ht="16" customHeight="1" outlineLevel="1" x14ac:dyDescent="0.25">
      <c r="A88" s="51"/>
      <c r="B88" s="31"/>
      <c r="C88" s="175" t="s">
        <v>1746</v>
      </c>
      <c r="G88" s="65"/>
      <c r="H88" s="153"/>
      <c r="I88" s="30"/>
      <c r="L88" s="311"/>
      <c r="S88" s="268"/>
      <c r="U88" s="268"/>
      <c r="V88" s="268"/>
      <c r="AG88" s="43">
        <v>15</v>
      </c>
      <c r="AH88" s="43">
        <v>40</v>
      </c>
      <c r="AI88" s="43">
        <v>39</v>
      </c>
      <c r="AJ88" s="43">
        <v>21</v>
      </c>
      <c r="AK88" s="43">
        <v>1</v>
      </c>
      <c r="AL88" s="43">
        <v>0</v>
      </c>
      <c r="AM88" s="43">
        <f>SUM(AG88:AL88)</f>
        <v>116</v>
      </c>
      <c r="AN88" s="43">
        <v>0</v>
      </c>
      <c r="AO88" s="43">
        <v>9</v>
      </c>
      <c r="AP88" s="43">
        <v>6</v>
      </c>
      <c r="AQ88" s="43">
        <v>22</v>
      </c>
      <c r="AR88" s="43">
        <v>4</v>
      </c>
      <c r="AS88" s="43">
        <v>2</v>
      </c>
      <c r="AT88" s="43">
        <f>SUM(AN88:AS88)</f>
        <v>43</v>
      </c>
      <c r="AU88" s="43">
        <v>0</v>
      </c>
      <c r="AV88" s="43">
        <v>18</v>
      </c>
      <c r="AW88" s="43">
        <v>4</v>
      </c>
      <c r="AX88" s="43">
        <v>4</v>
      </c>
      <c r="AY88" s="43">
        <v>0</v>
      </c>
      <c r="AZ88" s="43">
        <v>0</v>
      </c>
      <c r="BA88" s="43">
        <f>SUM(AU88:AZ88)</f>
        <v>26</v>
      </c>
      <c r="BB88" s="30">
        <f t="shared" si="8"/>
        <v>185</v>
      </c>
      <c r="BR88" s="372" t="s">
        <v>1747</v>
      </c>
      <c r="BW88" s="425" t="s">
        <v>1748</v>
      </c>
    </row>
    <row r="89" spans="1:75" ht="16" customHeight="1" outlineLevel="1" x14ac:dyDescent="0.25">
      <c r="A89" s="51"/>
      <c r="B89" s="31"/>
      <c r="C89" s="175" t="s">
        <v>1749</v>
      </c>
      <c r="G89" s="65"/>
      <c r="H89" s="153"/>
      <c r="I89" s="30"/>
      <c r="L89" s="311"/>
      <c r="M89" s="43" t="s">
        <v>1750</v>
      </c>
      <c r="N89" s="268" t="s">
        <v>1751</v>
      </c>
      <c r="O89" s="43" t="s">
        <v>1678</v>
      </c>
      <c r="P89" s="43" t="s">
        <v>1752</v>
      </c>
      <c r="Q89" s="364">
        <v>40974</v>
      </c>
      <c r="R89" s="364">
        <v>40974</v>
      </c>
      <c r="S89" s="268" t="s">
        <v>1753</v>
      </c>
      <c r="T89" s="43" t="s">
        <v>1754</v>
      </c>
      <c r="U89" s="268" t="s">
        <v>1755</v>
      </c>
      <c r="V89" s="268" t="s">
        <v>1755</v>
      </c>
      <c r="X89" s="30" t="s">
        <v>1576</v>
      </c>
      <c r="Y89" s="30">
        <v>858</v>
      </c>
      <c r="Z89" s="43" t="s">
        <v>1590</v>
      </c>
      <c r="AA89" s="43" t="s">
        <v>1576</v>
      </c>
      <c r="AB89" s="43" t="s">
        <v>1576</v>
      </c>
      <c r="AC89" s="43" t="s">
        <v>1576</v>
      </c>
      <c r="AD89" s="43" t="s">
        <v>1576</v>
      </c>
      <c r="AE89" s="43" t="s">
        <v>1576</v>
      </c>
      <c r="AF89" s="43" t="s">
        <v>1576</v>
      </c>
      <c r="AG89" s="43">
        <v>0</v>
      </c>
      <c r="AH89" s="43">
        <v>1</v>
      </c>
      <c r="AI89" s="43">
        <v>0</v>
      </c>
      <c r="AJ89" s="43">
        <v>4</v>
      </c>
      <c r="AK89" s="43">
        <v>0</v>
      </c>
      <c r="AL89" s="43">
        <v>0</v>
      </c>
      <c r="AM89" s="43">
        <f>SUM(AG89:AL89)</f>
        <v>5</v>
      </c>
      <c r="AN89" s="43">
        <v>0</v>
      </c>
      <c r="AO89" s="43">
        <v>9</v>
      </c>
      <c r="AP89" s="43">
        <v>6</v>
      </c>
      <c r="AQ89" s="43">
        <v>22</v>
      </c>
      <c r="AR89" s="43">
        <v>4</v>
      </c>
      <c r="AS89" s="43">
        <v>2</v>
      </c>
      <c r="AT89" s="43">
        <f>SUM(AN89:AS89)</f>
        <v>43</v>
      </c>
      <c r="AU89" s="43">
        <v>0</v>
      </c>
      <c r="AV89" s="43">
        <v>10</v>
      </c>
      <c r="AW89" s="43">
        <v>2</v>
      </c>
      <c r="AX89" s="43">
        <v>4</v>
      </c>
      <c r="AY89" s="43">
        <v>0</v>
      </c>
      <c r="AZ89" s="43">
        <v>0</v>
      </c>
      <c r="BA89" s="43">
        <f>SUM(AU89:AZ89)</f>
        <v>16</v>
      </c>
      <c r="BB89" s="30">
        <f t="shared" si="8"/>
        <v>64</v>
      </c>
      <c r="BN89" s="30">
        <v>10</v>
      </c>
      <c r="BO89" s="30">
        <v>78</v>
      </c>
      <c r="BP89" s="43">
        <v>31</v>
      </c>
      <c r="BQ89" s="43">
        <v>8</v>
      </c>
      <c r="BR89" s="372" t="s">
        <v>1756</v>
      </c>
      <c r="BS89" s="372" t="s">
        <v>1576</v>
      </c>
      <c r="BW89" s="425" t="s">
        <v>1757</v>
      </c>
    </row>
    <row r="90" spans="1:75" ht="16" customHeight="1" outlineLevel="1" x14ac:dyDescent="0.25">
      <c r="A90" s="51"/>
      <c r="B90" s="31"/>
      <c r="C90" t="s">
        <v>509</v>
      </c>
      <c r="D90" t="s">
        <v>446</v>
      </c>
      <c r="E90" t="s">
        <v>1119</v>
      </c>
      <c r="G90" s="65">
        <v>13</v>
      </c>
      <c r="H90" s="153">
        <v>1015</v>
      </c>
      <c r="I90" s="30">
        <v>89</v>
      </c>
      <c r="L90" s="311"/>
      <c r="M90" s="43" t="s">
        <v>1758</v>
      </c>
      <c r="N90" s="268" t="s">
        <v>1759</v>
      </c>
      <c r="O90" s="43" t="s">
        <v>1701</v>
      </c>
      <c r="P90" s="43" t="s">
        <v>1679</v>
      </c>
      <c r="Q90" s="364">
        <v>41382</v>
      </c>
      <c r="R90" s="364">
        <v>41382</v>
      </c>
      <c r="S90" s="268" t="s">
        <v>1759</v>
      </c>
      <c r="T90" s="43" t="s">
        <v>1424</v>
      </c>
      <c r="U90" s="43" t="s">
        <v>1760</v>
      </c>
      <c r="V90" s="268" t="s">
        <v>1761</v>
      </c>
      <c r="W90" s="43">
        <v>0.24</v>
      </c>
      <c r="X90" s="30">
        <v>370</v>
      </c>
      <c r="Y90" s="30">
        <v>1015</v>
      </c>
      <c r="Z90" s="43">
        <v>4</v>
      </c>
      <c r="AA90" s="43" t="s">
        <v>1576</v>
      </c>
      <c r="AB90" s="43">
        <v>26</v>
      </c>
      <c r="AC90" s="43">
        <v>11.2</v>
      </c>
      <c r="AD90" s="43">
        <v>10.5</v>
      </c>
      <c r="AE90" s="43">
        <v>4.4000000000000004</v>
      </c>
      <c r="AF90" s="43">
        <v>243</v>
      </c>
      <c r="AG90" s="43">
        <v>10</v>
      </c>
      <c r="AH90" s="43">
        <v>19</v>
      </c>
      <c r="AI90" s="43">
        <v>20</v>
      </c>
      <c r="AJ90" s="43">
        <v>14</v>
      </c>
      <c r="AK90" s="43">
        <v>0</v>
      </c>
      <c r="AL90" s="43">
        <v>0</v>
      </c>
      <c r="AM90" s="43">
        <f>SUM(AG90:AL90)</f>
        <v>63</v>
      </c>
      <c r="AN90" s="43">
        <v>0</v>
      </c>
      <c r="AO90" s="43">
        <v>2</v>
      </c>
      <c r="AP90" s="43">
        <v>7</v>
      </c>
      <c r="AQ90" s="43">
        <v>7</v>
      </c>
      <c r="AR90" s="43">
        <v>0</v>
      </c>
      <c r="AS90" s="43">
        <v>0</v>
      </c>
      <c r="AT90" s="43">
        <f>SUM(AN90:AS90)</f>
        <v>16</v>
      </c>
      <c r="AU90" s="43">
        <v>0</v>
      </c>
      <c r="AV90" s="43">
        <v>5</v>
      </c>
      <c r="AW90" s="43">
        <v>5</v>
      </c>
      <c r="AX90" s="43">
        <v>0</v>
      </c>
      <c r="AY90" s="43">
        <v>0</v>
      </c>
      <c r="AZ90" s="43">
        <v>0</v>
      </c>
      <c r="BA90" s="43">
        <f>SUM(AU90:AZ90)</f>
        <v>10</v>
      </c>
      <c r="BB90" s="30">
        <f t="shared" si="8"/>
        <v>89</v>
      </c>
      <c r="BD90" s="30">
        <v>321</v>
      </c>
      <c r="BN90" s="30">
        <v>9</v>
      </c>
      <c r="BO90" s="30">
        <v>115</v>
      </c>
      <c r="BP90" s="43" t="s">
        <v>1576</v>
      </c>
      <c r="BQ90" s="43">
        <v>13</v>
      </c>
      <c r="BR90" s="372" t="s">
        <v>1762</v>
      </c>
      <c r="BS90" s="372" t="s">
        <v>1763</v>
      </c>
      <c r="BW90" s="425" t="s">
        <v>1764</v>
      </c>
    </row>
    <row r="91" spans="1:75" ht="16" customHeight="1" outlineLevel="1" x14ac:dyDescent="0.25">
      <c r="A91" s="51"/>
      <c r="B91" s="31"/>
      <c r="C91" t="s">
        <v>1340</v>
      </c>
      <c r="D91" t="s">
        <v>1315</v>
      </c>
      <c r="G91" s="65"/>
      <c r="H91" s="153"/>
      <c r="I91" s="30">
        <v>78</v>
      </c>
    </row>
    <row r="92" spans="1:75" ht="16" customHeight="1" outlineLevel="1" x14ac:dyDescent="0.25">
      <c r="A92" s="51"/>
      <c r="B92" s="31"/>
      <c r="C92" t="s">
        <v>146</v>
      </c>
      <c r="D92" t="s">
        <v>446</v>
      </c>
      <c r="E92" t="s">
        <v>1119</v>
      </c>
      <c r="G92" s="65">
        <v>12</v>
      </c>
      <c r="H92" s="153"/>
      <c r="I92" s="30">
        <v>23</v>
      </c>
    </row>
    <row r="93" spans="1:75" ht="16" customHeight="1" outlineLevel="1" x14ac:dyDescent="0.25">
      <c r="A93" s="51"/>
      <c r="B93" s="31"/>
      <c r="C93" t="s">
        <v>1765</v>
      </c>
      <c r="G93" s="65"/>
      <c r="H93" s="153"/>
      <c r="I93" s="30"/>
      <c r="M93" s="43" t="s">
        <v>1766</v>
      </c>
      <c r="N93" s="268" t="s">
        <v>1767</v>
      </c>
      <c r="O93" s="43" t="s">
        <v>1768</v>
      </c>
      <c r="P93" s="43" t="s">
        <v>1679</v>
      </c>
      <c r="Q93" s="364" t="s">
        <v>1769</v>
      </c>
      <c r="R93" s="364">
        <v>41339</v>
      </c>
      <c r="S93" s="268" t="s">
        <v>1767</v>
      </c>
      <c r="T93" s="43" t="s">
        <v>1424</v>
      </c>
      <c r="U93" s="268" t="s">
        <v>1770</v>
      </c>
      <c r="V93" s="43" t="s">
        <v>1690</v>
      </c>
      <c r="W93" s="43">
        <v>7.7</v>
      </c>
      <c r="X93" s="30" t="s">
        <v>1576</v>
      </c>
      <c r="Y93" s="30">
        <v>847</v>
      </c>
      <c r="Z93" s="43" t="s">
        <v>1568</v>
      </c>
      <c r="AA93" s="43" t="s">
        <v>1576</v>
      </c>
      <c r="AB93" s="43">
        <v>879</v>
      </c>
      <c r="AC93" s="43" t="s">
        <v>1576</v>
      </c>
      <c r="AD93" s="43" t="s">
        <v>1576</v>
      </c>
      <c r="AE93" s="43" t="s">
        <v>1576</v>
      </c>
      <c r="AF93" s="43">
        <v>8315</v>
      </c>
      <c r="AG93" s="43">
        <v>0</v>
      </c>
      <c r="AH93" s="43">
        <v>227</v>
      </c>
      <c r="AI93" s="43">
        <v>558</v>
      </c>
      <c r="AJ93" s="43">
        <v>92</v>
      </c>
      <c r="AK93" s="43">
        <v>0</v>
      </c>
      <c r="AL93" s="43">
        <v>0</v>
      </c>
      <c r="AM93" s="43">
        <f>SUM(AG93:AL93)</f>
        <v>877</v>
      </c>
      <c r="AN93" s="43">
        <v>0</v>
      </c>
      <c r="AO93" s="43">
        <v>99</v>
      </c>
      <c r="AP93" s="43">
        <v>164</v>
      </c>
      <c r="AQ93" s="43">
        <v>189</v>
      </c>
      <c r="AR93" s="43">
        <v>96</v>
      </c>
      <c r="AS93" s="43">
        <v>18</v>
      </c>
      <c r="AT93" s="43">
        <f>SUM(AN93:AS93)</f>
        <v>566</v>
      </c>
      <c r="AU93" s="43">
        <v>0</v>
      </c>
      <c r="AV93" s="43">
        <v>6</v>
      </c>
      <c r="AW93" s="43">
        <v>114</v>
      </c>
      <c r="AX93" s="43">
        <v>9</v>
      </c>
      <c r="AY93" s="43">
        <v>3</v>
      </c>
      <c r="AZ93" s="43">
        <v>0</v>
      </c>
      <c r="BA93" s="43">
        <f>SUM(AU93:AZ93)</f>
        <v>132</v>
      </c>
      <c r="BB93" s="30">
        <f t="shared" ref="BB93" si="9">SUM(AM93+AT93+BA93)</f>
        <v>1575</v>
      </c>
      <c r="BH93" s="30">
        <v>1710</v>
      </c>
      <c r="BI93" s="30">
        <v>900</v>
      </c>
      <c r="BJ93" s="30">
        <v>500</v>
      </c>
      <c r="BK93" s="30">
        <v>4500</v>
      </c>
      <c r="BM93" s="30">
        <v>1200</v>
      </c>
      <c r="BN93" s="30">
        <v>340</v>
      </c>
      <c r="BO93" s="30">
        <v>2246</v>
      </c>
      <c r="BP93" s="43">
        <v>50</v>
      </c>
      <c r="BQ93" s="43">
        <v>15</v>
      </c>
      <c r="BR93" s="372" t="s">
        <v>1771</v>
      </c>
      <c r="BS93" s="372" t="s">
        <v>1772</v>
      </c>
      <c r="BW93" s="425" t="s">
        <v>1773</v>
      </c>
    </row>
    <row r="94" spans="1:75" ht="6" customHeight="1" x14ac:dyDescent="0.25">
      <c r="A94" s="51"/>
      <c r="B94" s="31"/>
      <c r="G94" s="65"/>
      <c r="H94" s="153"/>
      <c r="I94" s="30"/>
    </row>
    <row r="95" spans="1:75" ht="21" x14ac:dyDescent="0.25">
      <c r="A95" s="51"/>
      <c r="B95" s="32"/>
      <c r="C95" s="31" t="s">
        <v>1345</v>
      </c>
      <c r="D95" s="31"/>
      <c r="E95" s="31"/>
      <c r="F95" s="241"/>
      <c r="G95" s="66"/>
      <c r="H95" s="186"/>
      <c r="I95" s="44">
        <f>SUM(I71:I94)</f>
        <v>15925</v>
      </c>
    </row>
    <row r="96" spans="1:75" ht="21" x14ac:dyDescent="0.25">
      <c r="A96" s="51"/>
      <c r="B96" s="32"/>
      <c r="C96" s="31" t="s">
        <v>1344</v>
      </c>
      <c r="D96" s="31"/>
      <c r="E96" s="31"/>
      <c r="F96" s="241"/>
      <c r="G96" s="66"/>
      <c r="H96" s="186"/>
      <c r="I96" s="44">
        <f ca="1">SUMIF($E70:$E93,"yes",I71:I93)</f>
        <v>5315</v>
      </c>
    </row>
    <row r="97" spans="1:10" ht="22" thickBot="1" x14ac:dyDescent="0.3">
      <c r="A97" s="51"/>
      <c r="B97" s="31" t="s">
        <v>202</v>
      </c>
      <c r="H97" s="60"/>
      <c r="I97" s="50">
        <f>I95+I64</f>
        <v>22152</v>
      </c>
      <c r="J97" s="254"/>
    </row>
    <row r="98" spans="1:10" ht="22" thickTop="1" x14ac:dyDescent="0.25">
      <c r="A98" s="51"/>
      <c r="B98" s="68" t="s">
        <v>216</v>
      </c>
      <c r="H98" s="60"/>
      <c r="I98" s="30"/>
    </row>
    <row r="99" spans="1:10" ht="21" outlineLevel="1" x14ac:dyDescent="0.25">
      <c r="A99" s="51"/>
      <c r="B99" s="31"/>
      <c r="C99" s="175" t="s">
        <v>213</v>
      </c>
      <c r="D99" t="s">
        <v>1249</v>
      </c>
      <c r="H99" s="60"/>
      <c r="I99" s="30">
        <v>500</v>
      </c>
    </row>
    <row r="100" spans="1:10" ht="21" outlineLevel="1" x14ac:dyDescent="0.25">
      <c r="A100" s="51"/>
      <c r="B100" s="31"/>
      <c r="C100" s="175" t="s">
        <v>478</v>
      </c>
      <c r="D100" t="s">
        <v>1250</v>
      </c>
      <c r="H100" s="60"/>
      <c r="I100" s="30">
        <v>700</v>
      </c>
    </row>
    <row r="101" spans="1:10" ht="10" customHeight="1" x14ac:dyDescent="0.25">
      <c r="A101" s="51"/>
      <c r="B101" s="31"/>
      <c r="H101" s="60"/>
      <c r="I101" s="30"/>
    </row>
    <row r="102" spans="1:10" ht="21" x14ac:dyDescent="0.25">
      <c r="A102" s="51"/>
      <c r="C102" s="31" t="s">
        <v>210</v>
      </c>
      <c r="D102" s="31"/>
      <c r="E102" s="31"/>
      <c r="F102" s="241"/>
      <c r="G102" s="31"/>
      <c r="H102" s="137"/>
      <c r="I102" s="46">
        <f>SUM(I99:I101)</f>
        <v>1200</v>
      </c>
    </row>
    <row r="103" spans="1:10" ht="17" thickBot="1" x14ac:dyDescent="0.25">
      <c r="B103" s="31" t="s">
        <v>202</v>
      </c>
      <c r="H103" s="60"/>
      <c r="I103" s="50">
        <f>I102+I95+I64</f>
        <v>23352</v>
      </c>
    </row>
    <row r="104" spans="1:10" ht="9" customHeight="1" thickTop="1" x14ac:dyDescent="0.25">
      <c r="A104" s="49"/>
      <c r="B104" s="31"/>
      <c r="H104" s="60"/>
      <c r="I104" s="53"/>
    </row>
    <row r="105" spans="1:10" ht="21" x14ac:dyDescent="0.25">
      <c r="A105" s="49"/>
      <c r="B105" s="31"/>
      <c r="G105" s="254"/>
      <c r="H105" s="60"/>
      <c r="I105" s="53"/>
    </row>
    <row r="106" spans="1:10" ht="21" x14ac:dyDescent="0.25">
      <c r="A106" s="49" t="s">
        <v>199</v>
      </c>
      <c r="B106" s="31"/>
      <c r="H106" s="60"/>
      <c r="I106" s="53"/>
    </row>
    <row r="107" spans="1:10" ht="6" customHeight="1" x14ac:dyDescent="0.25">
      <c r="A107" s="49"/>
      <c r="H107" s="60"/>
    </row>
    <row r="108" spans="1:10" ht="21" x14ac:dyDescent="0.25">
      <c r="A108" s="51"/>
      <c r="B108" s="31" t="s">
        <v>204</v>
      </c>
      <c r="H108" s="60"/>
      <c r="I108" s="30">
        <v>6231</v>
      </c>
    </row>
    <row r="109" spans="1:10" ht="6" customHeight="1" x14ac:dyDescent="0.25">
      <c r="A109" s="51"/>
      <c r="H109" s="60"/>
      <c r="I109" s="30"/>
    </row>
    <row r="110" spans="1:10" ht="21" x14ac:dyDescent="0.25">
      <c r="A110" s="51"/>
      <c r="B110" s="32" t="s">
        <v>187</v>
      </c>
      <c r="H110" s="60"/>
      <c r="I110" s="30" t="s">
        <v>11</v>
      </c>
    </row>
    <row r="111" spans="1:10" ht="6" customHeight="1" x14ac:dyDescent="0.25">
      <c r="A111" s="51"/>
      <c r="B111" s="32"/>
      <c r="H111" s="60"/>
      <c r="I111" s="30"/>
    </row>
    <row r="112" spans="1:10" ht="32" x14ac:dyDescent="0.25">
      <c r="A112" s="51"/>
      <c r="B112" s="55" t="s">
        <v>205</v>
      </c>
      <c r="C112" s="56"/>
      <c r="D112" s="56"/>
      <c r="E112" s="56"/>
      <c r="F112" s="57"/>
      <c r="G112" s="56"/>
      <c r="H112" s="156"/>
      <c r="I112" s="58" t="s">
        <v>206</v>
      </c>
    </row>
    <row r="113" spans="1:22" ht="6" customHeight="1" x14ac:dyDescent="0.25">
      <c r="A113" s="51"/>
      <c r="B113" s="31"/>
      <c r="H113" s="60"/>
      <c r="I113" s="30"/>
    </row>
    <row r="114" spans="1:22" ht="16" customHeight="1" outlineLevel="1" x14ac:dyDescent="0.25">
      <c r="A114" s="51"/>
      <c r="B114" s="31"/>
      <c r="C114" t="s">
        <v>479</v>
      </c>
      <c r="D114" t="s">
        <v>480</v>
      </c>
      <c r="E114" t="s">
        <v>1119</v>
      </c>
      <c r="H114" s="60"/>
      <c r="I114" s="30">
        <v>173</v>
      </c>
      <c r="M114" s="57" t="s">
        <v>1569</v>
      </c>
      <c r="N114" s="362" t="s">
        <v>1570</v>
      </c>
      <c r="O114" s="43" t="s">
        <v>1571</v>
      </c>
      <c r="P114" s="43" t="s">
        <v>1572</v>
      </c>
      <c r="Q114" s="364" t="s">
        <v>1573</v>
      </c>
      <c r="R114" s="364">
        <v>41473</v>
      </c>
      <c r="S114" s="362" t="s">
        <v>1570</v>
      </c>
      <c r="T114" s="43" t="s">
        <v>57</v>
      </c>
      <c r="U114" s="268" t="s">
        <v>1574</v>
      </c>
      <c r="V114" s="268" t="s">
        <v>1575</v>
      </c>
    </row>
    <row r="115" spans="1:22" ht="16" customHeight="1" outlineLevel="1" x14ac:dyDescent="0.25">
      <c r="A115" s="51"/>
      <c r="C115" t="s">
        <v>481</v>
      </c>
      <c r="D115" t="s">
        <v>457</v>
      </c>
      <c r="E115" t="s">
        <v>1119</v>
      </c>
      <c r="H115" s="60"/>
      <c r="I115" s="43">
        <v>36</v>
      </c>
    </row>
    <row r="116" spans="1:22" ht="16" customHeight="1" outlineLevel="1" x14ac:dyDescent="0.25">
      <c r="A116" s="51"/>
      <c r="B116" s="31"/>
      <c r="C116" t="s">
        <v>1266</v>
      </c>
      <c r="D116" t="s">
        <v>465</v>
      </c>
      <c r="G116" s="65" t="s">
        <v>11</v>
      </c>
      <c r="H116" s="153"/>
      <c r="I116" s="30">
        <f>417-134</f>
        <v>283</v>
      </c>
    </row>
    <row r="117" spans="1:22" ht="16" customHeight="1" outlineLevel="1" x14ac:dyDescent="0.2">
      <c r="C117" t="s">
        <v>484</v>
      </c>
      <c r="D117" t="s">
        <v>1343</v>
      </c>
      <c r="E117" t="s">
        <v>1119</v>
      </c>
      <c r="H117" s="60"/>
      <c r="I117" s="43">
        <v>62</v>
      </c>
    </row>
    <row r="118" spans="1:22" ht="16" customHeight="1" outlineLevel="1" x14ac:dyDescent="0.2">
      <c r="C118" t="s">
        <v>144</v>
      </c>
      <c r="D118" t="s">
        <v>482</v>
      </c>
      <c r="E118" t="s">
        <v>1119</v>
      </c>
      <c r="H118" s="60"/>
      <c r="I118" s="43">
        <v>39</v>
      </c>
    </row>
    <row r="119" spans="1:22" ht="16" customHeight="1" outlineLevel="1" x14ac:dyDescent="0.2">
      <c r="C119" t="s">
        <v>483</v>
      </c>
      <c r="D119" t="s">
        <v>1251</v>
      </c>
      <c r="H119" s="60"/>
      <c r="I119" s="43">
        <v>26</v>
      </c>
    </row>
    <row r="120" spans="1:22" ht="6" customHeight="1" x14ac:dyDescent="0.2">
      <c r="H120" s="60"/>
    </row>
    <row r="121" spans="1:22" x14ac:dyDescent="0.2">
      <c r="B121" s="32"/>
      <c r="C121" s="31" t="s">
        <v>1345</v>
      </c>
      <c r="D121" s="31"/>
      <c r="E121" s="31"/>
      <c r="F121" s="241"/>
      <c r="G121" s="31"/>
      <c r="H121" s="137"/>
      <c r="I121" s="270">
        <f>SUM(I114:I120)</f>
        <v>619</v>
      </c>
    </row>
    <row r="122" spans="1:22" x14ac:dyDescent="0.2">
      <c r="B122" s="32"/>
      <c r="C122" s="31" t="s">
        <v>1344</v>
      </c>
      <c r="D122" s="31"/>
      <c r="E122" s="31"/>
      <c r="F122" s="241"/>
      <c r="G122" s="31"/>
      <c r="H122" s="137"/>
      <c r="I122" s="44">
        <f>SUMIF($E114:$E119,"yes",I114:I119)</f>
        <v>310</v>
      </c>
    </row>
    <row r="123" spans="1:22" x14ac:dyDescent="0.2">
      <c r="B123" s="31" t="s">
        <v>202</v>
      </c>
      <c r="H123" s="60"/>
      <c r="I123" s="46">
        <f>I121+I108</f>
        <v>6850</v>
      </c>
    </row>
    <row r="124" spans="1:22" x14ac:dyDescent="0.2">
      <c r="B124" s="31"/>
      <c r="H124" s="60"/>
      <c r="I124" s="53"/>
    </row>
    <row r="125" spans="1:22" ht="18" customHeight="1" x14ac:dyDescent="0.25">
      <c r="A125" s="49" t="s">
        <v>1774</v>
      </c>
      <c r="B125" s="31"/>
      <c r="H125" s="60"/>
      <c r="I125" s="53"/>
    </row>
    <row r="126" spans="1:22" ht="6" customHeight="1" x14ac:dyDescent="0.25">
      <c r="A126" s="49"/>
      <c r="H126" s="60"/>
    </row>
    <row r="127" spans="1:22" ht="21" x14ac:dyDescent="0.25">
      <c r="A127" s="51"/>
      <c r="B127" s="55" t="s">
        <v>205</v>
      </c>
      <c r="C127" s="56"/>
      <c r="D127" s="56"/>
      <c r="E127" s="56"/>
      <c r="F127" s="57"/>
      <c r="G127" s="56"/>
      <c r="H127" s="156"/>
      <c r="I127" s="58"/>
    </row>
    <row r="128" spans="1:22" ht="6" customHeight="1" x14ac:dyDescent="0.25">
      <c r="A128" s="51"/>
      <c r="B128" s="31"/>
      <c r="H128" s="60"/>
      <c r="I128" s="30"/>
    </row>
    <row r="129" spans="1:75" ht="16.5" customHeight="1" outlineLevel="1" x14ac:dyDescent="0.25">
      <c r="A129" s="51"/>
      <c r="B129" s="32"/>
      <c r="C129" t="s">
        <v>1775</v>
      </c>
      <c r="D129" s="126"/>
      <c r="E129" s="126"/>
      <c r="G129" s="43"/>
      <c r="H129" s="30"/>
      <c r="M129" s="43" t="s">
        <v>1776</v>
      </c>
      <c r="N129" s="268" t="s">
        <v>1777</v>
      </c>
      <c r="O129" s="43" t="s">
        <v>1778</v>
      </c>
      <c r="P129" s="43" t="s">
        <v>1779</v>
      </c>
      <c r="Q129" s="364">
        <v>41339</v>
      </c>
      <c r="R129" s="364">
        <v>41438</v>
      </c>
      <c r="S129" s="268" t="s">
        <v>1780</v>
      </c>
      <c r="T129" s="43" t="s">
        <v>1424</v>
      </c>
      <c r="U129" s="43" t="s">
        <v>518</v>
      </c>
      <c r="V129" s="43" t="s">
        <v>518</v>
      </c>
      <c r="W129" s="43">
        <v>0.41</v>
      </c>
      <c r="X129" s="30">
        <v>502</v>
      </c>
      <c r="Y129" s="30">
        <v>1480</v>
      </c>
      <c r="Z129" s="43">
        <v>4</v>
      </c>
      <c r="AA129" s="43" t="s">
        <v>1576</v>
      </c>
      <c r="AB129" s="43" t="s">
        <v>1576</v>
      </c>
      <c r="AC129" s="43" t="s">
        <v>1576</v>
      </c>
      <c r="AD129" s="43" t="s">
        <v>1576</v>
      </c>
      <c r="AE129" s="43" t="s">
        <v>1576</v>
      </c>
      <c r="AF129" s="43">
        <v>680</v>
      </c>
      <c r="AG129" s="43">
        <v>0</v>
      </c>
      <c r="AM129" s="43">
        <v>416</v>
      </c>
      <c r="AT129" s="43">
        <v>132</v>
      </c>
      <c r="BA129" s="43">
        <v>59</v>
      </c>
      <c r="BB129" s="30">
        <f>SUM(AM129+AT129+BA129)</f>
        <v>607</v>
      </c>
      <c r="BN129" s="30">
        <v>39</v>
      </c>
      <c r="BO129" s="30">
        <v>268</v>
      </c>
      <c r="BP129" s="43" t="s">
        <v>1576</v>
      </c>
      <c r="BQ129" s="43">
        <v>22</v>
      </c>
      <c r="BR129" s="372" t="s">
        <v>1781</v>
      </c>
      <c r="BS129" s="372" t="s">
        <v>1782</v>
      </c>
      <c r="BW129" s="425" t="s">
        <v>1783</v>
      </c>
    </row>
    <row r="130" spans="1:75" ht="16.5" customHeight="1" outlineLevel="1" x14ac:dyDescent="0.25">
      <c r="A130" s="51"/>
      <c r="B130" s="32"/>
      <c r="C130" t="s">
        <v>1784</v>
      </c>
      <c r="D130" s="126"/>
      <c r="E130" s="126"/>
      <c r="G130" s="43"/>
      <c r="H130" s="30"/>
      <c r="M130" s="43" t="s">
        <v>1785</v>
      </c>
      <c r="N130" s="268" t="s">
        <v>1786</v>
      </c>
      <c r="O130" s="43" t="s">
        <v>1787</v>
      </c>
      <c r="P130" s="43" t="s">
        <v>1788</v>
      </c>
      <c r="Q130" s="364">
        <v>42243</v>
      </c>
      <c r="R130" s="364">
        <v>42243</v>
      </c>
      <c r="S130" s="268" t="s">
        <v>1786</v>
      </c>
      <c r="T130" s="43" t="s">
        <v>1424</v>
      </c>
      <c r="U130" s="43" t="s">
        <v>1789</v>
      </c>
      <c r="V130" s="43" t="s">
        <v>1789</v>
      </c>
      <c r="W130" s="43" t="s">
        <v>1790</v>
      </c>
      <c r="X130" s="30" t="s">
        <v>1576</v>
      </c>
      <c r="Y130" s="30">
        <v>1155</v>
      </c>
      <c r="Z130" s="30" t="s">
        <v>1590</v>
      </c>
      <c r="AA130" s="43" t="s">
        <v>1576</v>
      </c>
      <c r="AB130" s="43" t="s">
        <v>1576</v>
      </c>
      <c r="AC130" s="43" t="s">
        <v>1576</v>
      </c>
      <c r="AD130" s="43" t="s">
        <v>1576</v>
      </c>
      <c r="AE130" s="43" t="s">
        <v>1576</v>
      </c>
      <c r="AF130" s="43">
        <v>999</v>
      </c>
      <c r="AG130" s="43">
        <v>0</v>
      </c>
      <c r="AH130" s="43">
        <v>82</v>
      </c>
      <c r="AI130" s="43">
        <v>78</v>
      </c>
      <c r="AJ130" s="43">
        <v>27</v>
      </c>
      <c r="AK130" s="43">
        <v>0</v>
      </c>
      <c r="AL130" s="43">
        <v>0</v>
      </c>
      <c r="AM130" s="43">
        <f>SUM(AG130:AL130)</f>
        <v>187</v>
      </c>
      <c r="AN130" s="43">
        <v>0</v>
      </c>
      <c r="AO130" s="43">
        <v>10</v>
      </c>
      <c r="AP130" s="43">
        <v>20</v>
      </c>
      <c r="AQ130" s="43">
        <v>20</v>
      </c>
      <c r="AR130" s="43">
        <v>5</v>
      </c>
      <c r="AS130" s="43">
        <v>0</v>
      </c>
      <c r="AT130" s="43">
        <f t="shared" ref="AT130:AT133" si="10">SUM(AN130:AS130)</f>
        <v>55</v>
      </c>
      <c r="AU130" s="43">
        <v>0</v>
      </c>
      <c r="AV130" s="43">
        <v>14</v>
      </c>
      <c r="AW130" s="43">
        <v>9</v>
      </c>
      <c r="AX130" s="43">
        <v>7</v>
      </c>
      <c r="AY130" s="43">
        <v>0</v>
      </c>
      <c r="AZ130" s="43">
        <v>0</v>
      </c>
      <c r="BA130" s="43">
        <f t="shared" ref="BA130:BA133" si="11">SUM(AU130:AZ130)</f>
        <v>30</v>
      </c>
      <c r="BB130" s="30">
        <f>SUM(AM130+AT130+BA130)</f>
        <v>272</v>
      </c>
      <c r="BN130" s="30">
        <v>20</v>
      </c>
      <c r="BO130" s="30">
        <v>448</v>
      </c>
      <c r="BP130" s="43" t="s">
        <v>1576</v>
      </c>
      <c r="BQ130" s="43">
        <v>13</v>
      </c>
      <c r="BR130" s="372" t="s">
        <v>1791</v>
      </c>
      <c r="BS130" s="372" t="s">
        <v>1792</v>
      </c>
      <c r="BW130" s="425" t="s">
        <v>1793</v>
      </c>
    </row>
    <row r="131" spans="1:75" ht="16.5" customHeight="1" outlineLevel="1" x14ac:dyDescent="0.25">
      <c r="A131" s="51"/>
      <c r="B131" s="32"/>
      <c r="C131" t="s">
        <v>1794</v>
      </c>
      <c r="D131" s="126"/>
      <c r="E131" s="126"/>
      <c r="G131" s="43"/>
      <c r="H131" s="30"/>
      <c r="M131" s="43" t="s">
        <v>1795</v>
      </c>
      <c r="N131" s="268" t="s">
        <v>1796</v>
      </c>
      <c r="O131" s="43" t="s">
        <v>1678</v>
      </c>
      <c r="P131" s="43" t="s">
        <v>1779</v>
      </c>
      <c r="Q131" s="364">
        <v>40955</v>
      </c>
      <c r="R131" s="364">
        <v>40974</v>
      </c>
      <c r="S131" s="268" t="s">
        <v>1797</v>
      </c>
      <c r="T131" s="43" t="s">
        <v>1424</v>
      </c>
      <c r="U131" s="268" t="s">
        <v>1798</v>
      </c>
      <c r="V131" s="268" t="s">
        <v>1799</v>
      </c>
      <c r="W131" s="43" t="s">
        <v>1576</v>
      </c>
      <c r="X131" s="30" t="s">
        <v>1576</v>
      </c>
      <c r="Y131" s="30">
        <v>376</v>
      </c>
      <c r="Z131" s="30" t="s">
        <v>1590</v>
      </c>
      <c r="AA131" s="43" t="s">
        <v>1576</v>
      </c>
      <c r="AB131" s="43">
        <v>334</v>
      </c>
      <c r="AC131" s="43">
        <v>150</v>
      </c>
      <c r="AD131" s="43">
        <v>200</v>
      </c>
      <c r="AE131" s="43">
        <v>100</v>
      </c>
      <c r="AF131" s="30">
        <v>4500</v>
      </c>
      <c r="AG131" s="43">
        <v>78</v>
      </c>
      <c r="AH131" s="43">
        <v>195</v>
      </c>
      <c r="AI131" s="43">
        <v>713</v>
      </c>
      <c r="AJ131" s="43">
        <v>0</v>
      </c>
      <c r="AK131" s="43">
        <v>0</v>
      </c>
      <c r="AL131" s="43">
        <v>0</v>
      </c>
      <c r="AM131" s="43">
        <f>SUM(AG131:AL131)</f>
        <v>986</v>
      </c>
      <c r="AN131" s="43">
        <v>0</v>
      </c>
      <c r="AO131" s="43">
        <v>10</v>
      </c>
      <c r="AP131" s="43">
        <v>60</v>
      </c>
      <c r="AQ131" s="43">
        <v>40</v>
      </c>
      <c r="AR131" s="43">
        <v>60</v>
      </c>
      <c r="AS131" s="43">
        <v>0</v>
      </c>
      <c r="AT131" s="43">
        <f t="shared" si="10"/>
        <v>170</v>
      </c>
      <c r="AU131" s="43">
        <v>0</v>
      </c>
      <c r="AV131" s="43">
        <v>8</v>
      </c>
      <c r="AW131" s="43">
        <v>11</v>
      </c>
      <c r="AX131" s="43">
        <v>1</v>
      </c>
      <c r="AY131" s="43">
        <v>0</v>
      </c>
      <c r="AZ131" s="43">
        <v>0</v>
      </c>
      <c r="BA131" s="43">
        <f t="shared" si="11"/>
        <v>20</v>
      </c>
      <c r="BB131" s="30">
        <f>SUM(AM131+AT131+BA131)</f>
        <v>1176</v>
      </c>
      <c r="BG131" s="30">
        <v>989</v>
      </c>
      <c r="BH131" s="30">
        <v>343</v>
      </c>
      <c r="BJ131" s="30">
        <v>504</v>
      </c>
      <c r="BL131" s="30">
        <v>960</v>
      </c>
      <c r="BM131" s="30">
        <v>322</v>
      </c>
      <c r="BN131" s="30">
        <v>356</v>
      </c>
      <c r="BO131" s="30">
        <v>401</v>
      </c>
      <c r="BP131" s="43" t="s">
        <v>1576</v>
      </c>
      <c r="BQ131" s="43">
        <v>10</v>
      </c>
      <c r="BR131" s="372" t="s">
        <v>1800</v>
      </c>
      <c r="BS131" s="372" t="s">
        <v>1576</v>
      </c>
      <c r="BW131" s="425"/>
    </row>
    <row r="132" spans="1:75" ht="16.5" customHeight="1" outlineLevel="1" x14ac:dyDescent="0.25">
      <c r="A132" s="51"/>
      <c r="B132" s="32"/>
      <c r="C132" t="s">
        <v>1801</v>
      </c>
      <c r="D132" s="126"/>
      <c r="E132" s="126"/>
      <c r="G132" s="43"/>
      <c r="H132" s="30"/>
      <c r="M132" s="43" t="s">
        <v>1802</v>
      </c>
      <c r="N132" s="268" t="s">
        <v>1803</v>
      </c>
      <c r="O132" s="43" t="s">
        <v>1787</v>
      </c>
      <c r="P132" s="43" t="s">
        <v>1779</v>
      </c>
      <c r="Q132" s="364">
        <v>40801</v>
      </c>
      <c r="R132" s="364">
        <v>40801</v>
      </c>
      <c r="S132" s="268" t="s">
        <v>1803</v>
      </c>
      <c r="T132" s="43" t="s">
        <v>1424</v>
      </c>
      <c r="U132" s="268" t="s">
        <v>1804</v>
      </c>
      <c r="V132" s="268" t="s">
        <v>1052</v>
      </c>
      <c r="W132" s="43">
        <v>0.28000000000000003</v>
      </c>
      <c r="X132" s="30" t="s">
        <v>1576</v>
      </c>
      <c r="Y132" s="30">
        <v>1282</v>
      </c>
      <c r="Z132" s="30">
        <v>3</v>
      </c>
      <c r="AA132" s="43" t="s">
        <v>1576</v>
      </c>
      <c r="AB132" s="43" t="s">
        <v>1576</v>
      </c>
      <c r="AC132" s="43">
        <v>29.9</v>
      </c>
      <c r="AD132" s="43">
        <v>37.9</v>
      </c>
      <c r="AE132" s="43">
        <v>93.2</v>
      </c>
      <c r="AF132" s="30">
        <v>932</v>
      </c>
      <c r="AG132" s="43">
        <v>0</v>
      </c>
      <c r="AH132" s="43">
        <v>24</v>
      </c>
      <c r="AI132" s="43">
        <v>23</v>
      </c>
      <c r="AJ132" s="43">
        <v>13</v>
      </c>
      <c r="AK132" s="43">
        <v>0</v>
      </c>
      <c r="AL132" s="43">
        <v>0</v>
      </c>
      <c r="AM132" s="43">
        <f>SUM(AG132:AL132)</f>
        <v>60</v>
      </c>
      <c r="AN132" s="43">
        <v>0</v>
      </c>
      <c r="AO132" s="43">
        <v>9</v>
      </c>
      <c r="AP132" s="43">
        <v>20</v>
      </c>
      <c r="AQ132" s="43">
        <v>18</v>
      </c>
      <c r="AR132" s="43">
        <v>7</v>
      </c>
      <c r="AS132" s="43">
        <v>1</v>
      </c>
      <c r="AT132" s="43">
        <f t="shared" si="10"/>
        <v>55</v>
      </c>
      <c r="AU132" s="43">
        <v>0</v>
      </c>
      <c r="AV132" s="43">
        <v>0</v>
      </c>
      <c r="AW132" s="43">
        <v>0</v>
      </c>
      <c r="AX132" s="43">
        <v>0</v>
      </c>
      <c r="AY132" s="43">
        <v>0</v>
      </c>
      <c r="AZ132" s="43">
        <v>0</v>
      </c>
      <c r="BA132" s="43">
        <f t="shared" si="11"/>
        <v>0</v>
      </c>
      <c r="BB132" s="30">
        <f>SUM(AM132+AT132+BA132)</f>
        <v>115</v>
      </c>
      <c r="BN132" s="30">
        <v>1</v>
      </c>
      <c r="BO132" s="30">
        <v>166</v>
      </c>
      <c r="BP132" s="43" t="s">
        <v>1576</v>
      </c>
      <c r="BQ132" s="43">
        <v>13</v>
      </c>
      <c r="BR132" s="372" t="s">
        <v>1805</v>
      </c>
      <c r="BS132" s="372" t="s">
        <v>1576</v>
      </c>
      <c r="BW132" s="425"/>
    </row>
    <row r="133" spans="1:75" ht="16.5" customHeight="1" outlineLevel="1" x14ac:dyDescent="0.25">
      <c r="A133" s="51"/>
      <c r="B133" s="32"/>
      <c r="C133" t="s">
        <v>1806</v>
      </c>
      <c r="D133" s="126"/>
      <c r="E133" s="126"/>
      <c r="G133" s="43"/>
      <c r="H133" s="30"/>
      <c r="M133" s="43" t="s">
        <v>1807</v>
      </c>
      <c r="N133" s="268" t="s">
        <v>1808</v>
      </c>
      <c r="O133" s="43" t="s">
        <v>1809</v>
      </c>
      <c r="P133" s="43" t="s">
        <v>1779</v>
      </c>
      <c r="Q133" s="364">
        <v>40211</v>
      </c>
      <c r="R133" s="364">
        <v>40211</v>
      </c>
      <c r="S133" s="268" t="s">
        <v>1810</v>
      </c>
      <c r="T133" s="43" t="s">
        <v>1424</v>
      </c>
      <c r="U133" s="268" t="s">
        <v>1811</v>
      </c>
      <c r="V133" s="268" t="s">
        <v>1812</v>
      </c>
      <c r="W133" s="43" t="s">
        <v>1576</v>
      </c>
      <c r="X133" s="30" t="s">
        <v>1576</v>
      </c>
      <c r="Y133" s="30">
        <v>322</v>
      </c>
      <c r="Z133" s="30" t="s">
        <v>1813</v>
      </c>
      <c r="AA133" s="43" t="s">
        <v>1576</v>
      </c>
      <c r="AB133" s="43" t="s">
        <v>1576</v>
      </c>
      <c r="AC133" s="43" t="s">
        <v>1576</v>
      </c>
      <c r="AD133" s="43" t="s">
        <v>1576</v>
      </c>
      <c r="AE133" s="43" t="s">
        <v>1576</v>
      </c>
      <c r="AF133" s="30" t="s">
        <v>1576</v>
      </c>
      <c r="AG133" s="43">
        <v>1</v>
      </c>
      <c r="AH133" s="43">
        <v>44</v>
      </c>
      <c r="AI133" s="43">
        <v>30</v>
      </c>
      <c r="AJ133" s="43">
        <v>15</v>
      </c>
      <c r="AK133" s="43">
        <v>0</v>
      </c>
      <c r="AL133" s="43">
        <v>0</v>
      </c>
      <c r="AM133" s="43">
        <f>SUM(AG133:AL133)</f>
        <v>90</v>
      </c>
      <c r="AN133" s="43">
        <v>0</v>
      </c>
      <c r="AO133" s="43">
        <v>0</v>
      </c>
      <c r="AP133" s="43">
        <v>8</v>
      </c>
      <c r="AQ133" s="43">
        <v>4</v>
      </c>
      <c r="AR133" s="43">
        <v>16</v>
      </c>
      <c r="AS133" s="43">
        <v>4</v>
      </c>
      <c r="AT133" s="43">
        <f t="shared" si="10"/>
        <v>32</v>
      </c>
      <c r="AU133" s="43">
        <v>0</v>
      </c>
      <c r="AV133" s="43">
        <v>5</v>
      </c>
      <c r="AW133" s="43">
        <v>13</v>
      </c>
      <c r="AX133" s="43">
        <v>4</v>
      </c>
      <c r="AY133" s="43">
        <v>0</v>
      </c>
      <c r="AZ133" s="43">
        <v>0</v>
      </c>
      <c r="BA133" s="43">
        <f t="shared" si="11"/>
        <v>22</v>
      </c>
      <c r="BB133" s="30">
        <f>SUM(AM133+AT133+BA133)</f>
        <v>144</v>
      </c>
      <c r="BN133" s="30">
        <v>29</v>
      </c>
      <c r="BO133" s="30">
        <v>147</v>
      </c>
      <c r="BP133" s="43" t="s">
        <v>1576</v>
      </c>
      <c r="BQ133" s="43">
        <v>20</v>
      </c>
      <c r="BR133" s="372" t="s">
        <v>1576</v>
      </c>
      <c r="BS133" s="372" t="s">
        <v>1576</v>
      </c>
      <c r="BW133" s="425" t="s">
        <v>1814</v>
      </c>
    </row>
    <row r="134" spans="1:75" x14ac:dyDescent="0.2">
      <c r="B134" s="31"/>
      <c r="H134" s="60"/>
      <c r="I134" s="53"/>
    </row>
    <row r="135" spans="1:75" ht="18" customHeight="1" x14ac:dyDescent="0.25">
      <c r="A135" s="49" t="s">
        <v>1815</v>
      </c>
      <c r="B135" s="31"/>
      <c r="H135" s="60"/>
      <c r="I135" s="53"/>
    </row>
    <row r="136" spans="1:75" ht="6" customHeight="1" x14ac:dyDescent="0.25">
      <c r="A136" s="49"/>
      <c r="H136" s="60"/>
    </row>
    <row r="137" spans="1:75" ht="21" x14ac:dyDescent="0.25">
      <c r="A137" s="51"/>
      <c r="B137" s="55" t="s">
        <v>205</v>
      </c>
      <c r="C137" s="56"/>
      <c r="D137" s="56"/>
      <c r="E137" s="56"/>
      <c r="F137" s="57"/>
      <c r="G137" s="56"/>
      <c r="H137" s="156"/>
      <c r="I137" s="58"/>
    </row>
    <row r="138" spans="1:75" ht="6" customHeight="1" x14ac:dyDescent="0.25">
      <c r="A138" s="51"/>
      <c r="B138" s="31"/>
      <c r="H138" s="60"/>
      <c r="I138" s="30"/>
    </row>
    <row r="139" spans="1:75" ht="16.5" customHeight="1" outlineLevel="1" x14ac:dyDescent="0.25">
      <c r="A139" s="51"/>
      <c r="B139" s="32"/>
      <c r="C139" t="s">
        <v>1816</v>
      </c>
      <c r="D139" s="126"/>
      <c r="E139" s="126"/>
      <c r="G139" s="43"/>
      <c r="H139" s="30"/>
      <c r="M139" s="43" t="s">
        <v>1817</v>
      </c>
      <c r="N139" s="268" t="s">
        <v>1818</v>
      </c>
      <c r="O139" s="43" t="s">
        <v>1819</v>
      </c>
      <c r="P139" s="43" t="s">
        <v>1820</v>
      </c>
      <c r="Q139" s="364">
        <v>41256</v>
      </c>
      <c r="R139" s="364">
        <v>41256</v>
      </c>
      <c r="S139" s="268" t="s">
        <v>1821</v>
      </c>
      <c r="T139" s="43" t="s">
        <v>1822</v>
      </c>
      <c r="U139" s="268" t="s">
        <v>1823</v>
      </c>
      <c r="V139" s="268" t="s">
        <v>1823</v>
      </c>
      <c r="W139" s="43">
        <v>0.22</v>
      </c>
      <c r="X139" s="30" t="s">
        <v>1576</v>
      </c>
      <c r="Y139" s="30">
        <v>995</v>
      </c>
      <c r="Z139" s="30">
        <v>4</v>
      </c>
      <c r="AA139" s="43" t="s">
        <v>1576</v>
      </c>
      <c r="AB139" s="43">
        <v>65</v>
      </c>
      <c r="AC139" s="43">
        <v>25</v>
      </c>
      <c r="AD139" s="43" t="s">
        <v>1576</v>
      </c>
      <c r="AE139" s="43" t="s">
        <v>1576</v>
      </c>
      <c r="AF139" s="43">
        <v>650</v>
      </c>
      <c r="AG139" s="43">
        <v>0</v>
      </c>
      <c r="AH139" s="43">
        <v>0</v>
      </c>
      <c r="AI139" s="43">
        <v>0</v>
      </c>
      <c r="AJ139" s="43">
        <v>0</v>
      </c>
      <c r="AK139" s="43">
        <v>0</v>
      </c>
      <c r="AL139" s="43">
        <v>0</v>
      </c>
      <c r="AM139" s="43">
        <f>SUM(AG139:AL139)</f>
        <v>0</v>
      </c>
      <c r="AN139" s="43">
        <v>0</v>
      </c>
      <c r="AO139" s="43">
        <v>7</v>
      </c>
      <c r="AP139" s="43">
        <v>19</v>
      </c>
      <c r="AQ139" s="43">
        <v>10</v>
      </c>
      <c r="AR139" s="43">
        <v>3</v>
      </c>
      <c r="AS139" s="43">
        <v>5</v>
      </c>
      <c r="AT139" s="43">
        <f>SUM(AN139:AS139)</f>
        <v>44</v>
      </c>
      <c r="AU139" s="43">
        <v>0</v>
      </c>
      <c r="AV139" s="43">
        <v>5</v>
      </c>
      <c r="AW139" s="43">
        <v>6</v>
      </c>
      <c r="AX139" s="43">
        <v>5</v>
      </c>
      <c r="AY139" s="43">
        <v>0</v>
      </c>
      <c r="AZ139" s="43">
        <v>0</v>
      </c>
      <c r="BA139" s="43">
        <f>SUM(AU139:AZ139)</f>
        <v>16</v>
      </c>
      <c r="BB139" s="30">
        <f>SUM(AM139+AT139+BA139)</f>
        <v>60</v>
      </c>
      <c r="BN139" s="30">
        <v>0</v>
      </c>
      <c r="BO139" s="30">
        <v>98</v>
      </c>
      <c r="BP139" s="43" t="s">
        <v>1576</v>
      </c>
      <c r="BQ139" s="43">
        <v>7</v>
      </c>
      <c r="BR139" s="372" t="s">
        <v>1824</v>
      </c>
      <c r="BS139" s="372">
        <v>0</v>
      </c>
      <c r="BW139" s="425" t="s">
        <v>1825</v>
      </c>
    </row>
    <row r="140" spans="1:75" ht="16.5" customHeight="1" outlineLevel="1" x14ac:dyDescent="0.25">
      <c r="A140" s="51"/>
      <c r="B140" s="32"/>
      <c r="D140" s="126"/>
      <c r="E140" s="126"/>
      <c r="G140" s="43"/>
      <c r="H140" s="30"/>
      <c r="M140" s="43" t="s">
        <v>1785</v>
      </c>
      <c r="N140" s="268" t="s">
        <v>1786</v>
      </c>
      <c r="O140" s="43" t="s">
        <v>1787</v>
      </c>
      <c r="P140" s="43" t="s">
        <v>1788</v>
      </c>
      <c r="Q140" s="364">
        <v>42243</v>
      </c>
      <c r="R140" s="364">
        <v>42243</v>
      </c>
      <c r="S140" s="268" t="s">
        <v>1786</v>
      </c>
      <c r="T140" s="43" t="s">
        <v>1424</v>
      </c>
      <c r="U140" s="43" t="s">
        <v>1789</v>
      </c>
      <c r="V140" s="43" t="s">
        <v>1789</v>
      </c>
      <c r="W140" s="43" t="s">
        <v>1790</v>
      </c>
      <c r="X140" s="30" t="s">
        <v>1576</v>
      </c>
      <c r="Y140" s="30">
        <v>1155</v>
      </c>
      <c r="Z140" s="30" t="s">
        <v>1590</v>
      </c>
      <c r="AA140" s="43" t="s">
        <v>1576</v>
      </c>
      <c r="AB140" s="43" t="s">
        <v>1576</v>
      </c>
      <c r="AC140" s="43" t="s">
        <v>1576</v>
      </c>
      <c r="AD140" s="43" t="s">
        <v>1576</v>
      </c>
      <c r="AE140" s="43" t="s">
        <v>1576</v>
      </c>
      <c r="AF140" s="43">
        <v>999</v>
      </c>
      <c r="AG140" s="43">
        <v>0</v>
      </c>
      <c r="AH140" s="43">
        <v>82</v>
      </c>
      <c r="AI140" s="43">
        <v>78</v>
      </c>
      <c r="AJ140" s="43">
        <v>27</v>
      </c>
      <c r="AK140" s="43">
        <v>0</v>
      </c>
      <c r="AL140" s="43">
        <v>0</v>
      </c>
      <c r="AM140" s="43">
        <f>SUM(AG140:AL140)</f>
        <v>187</v>
      </c>
      <c r="AN140" s="43">
        <v>0</v>
      </c>
      <c r="AO140" s="43">
        <v>10</v>
      </c>
      <c r="AP140" s="43">
        <v>20</v>
      </c>
      <c r="AQ140" s="43">
        <v>20</v>
      </c>
      <c r="AR140" s="43">
        <v>5</v>
      </c>
      <c r="AS140" s="43">
        <v>0</v>
      </c>
      <c r="AT140" s="43">
        <f t="shared" ref="AT140" si="12">SUM(AN140:AS140)</f>
        <v>55</v>
      </c>
      <c r="AU140" s="43">
        <v>0</v>
      </c>
      <c r="AV140" s="43">
        <v>14</v>
      </c>
      <c r="AW140" s="43">
        <v>9</v>
      </c>
      <c r="AX140" s="43">
        <v>7</v>
      </c>
      <c r="AY140" s="43">
        <v>0</v>
      </c>
      <c r="AZ140" s="43">
        <v>0</v>
      </c>
      <c r="BA140" s="43">
        <f t="shared" ref="BA140" si="13">SUM(AU140:AZ140)</f>
        <v>30</v>
      </c>
      <c r="BB140" s="30">
        <f>SUM(AM140+AT140+BA140)</f>
        <v>272</v>
      </c>
      <c r="BN140" s="30">
        <v>20</v>
      </c>
      <c r="BO140" s="30">
        <v>448</v>
      </c>
      <c r="BP140" s="43" t="s">
        <v>1576</v>
      </c>
      <c r="BQ140" s="43">
        <v>13</v>
      </c>
      <c r="BR140" s="372" t="s">
        <v>1791</v>
      </c>
      <c r="BS140" s="372" t="s">
        <v>1792</v>
      </c>
      <c r="BW140" s="425" t="s">
        <v>1793</v>
      </c>
    </row>
    <row r="141" spans="1:75" x14ac:dyDescent="0.2">
      <c r="B141" s="31"/>
      <c r="H141" s="60"/>
      <c r="I141" s="53"/>
    </row>
    <row r="142" spans="1:75" ht="18" customHeight="1" x14ac:dyDescent="0.25">
      <c r="A142" s="49" t="s">
        <v>1826</v>
      </c>
      <c r="B142" s="31"/>
      <c r="H142" s="60"/>
      <c r="I142" s="53"/>
    </row>
    <row r="143" spans="1:75" ht="6" customHeight="1" x14ac:dyDescent="0.25">
      <c r="A143" s="49"/>
      <c r="H143" s="60"/>
    </row>
    <row r="144" spans="1:75" ht="21" x14ac:dyDescent="0.25">
      <c r="A144" s="51"/>
      <c r="B144" s="55" t="s">
        <v>205</v>
      </c>
      <c r="C144" s="56"/>
      <c r="D144" s="56"/>
      <c r="E144" s="56"/>
      <c r="F144" s="57"/>
      <c r="G144" s="56"/>
      <c r="H144" s="156"/>
      <c r="I144" s="58"/>
    </row>
    <row r="145" spans="1:77" ht="6" customHeight="1" x14ac:dyDescent="0.25">
      <c r="A145" s="51"/>
      <c r="B145" s="31"/>
      <c r="H145" s="60"/>
      <c r="I145" s="30"/>
    </row>
    <row r="146" spans="1:77" ht="16" customHeight="1" outlineLevel="1" x14ac:dyDescent="0.25">
      <c r="A146" s="51"/>
      <c r="B146" s="31"/>
      <c r="C146" t="s">
        <v>1827</v>
      </c>
      <c r="H146" s="60"/>
      <c r="I146" s="30"/>
      <c r="M146" s="268" t="s">
        <v>1828</v>
      </c>
      <c r="N146" s="268" t="s">
        <v>1829</v>
      </c>
      <c r="O146" s="43" t="s">
        <v>1571</v>
      </c>
      <c r="P146" s="43" t="s">
        <v>1830</v>
      </c>
      <c r="Q146" s="364">
        <v>40680</v>
      </c>
      <c r="R146" s="364">
        <v>41711</v>
      </c>
      <c r="S146" s="268" t="s">
        <v>1831</v>
      </c>
      <c r="T146" s="268" t="s">
        <v>1832</v>
      </c>
      <c r="U146" s="268" t="s">
        <v>1833</v>
      </c>
      <c r="V146" s="268" t="s">
        <v>1833</v>
      </c>
      <c r="W146" s="43" t="s">
        <v>1576</v>
      </c>
      <c r="X146" s="30" t="s">
        <v>1576</v>
      </c>
      <c r="Y146" s="30" t="s">
        <v>1576</v>
      </c>
      <c r="Z146" s="43" t="s">
        <v>1834</v>
      </c>
      <c r="AA146" s="43">
        <v>67</v>
      </c>
      <c r="AB146" s="43">
        <v>55</v>
      </c>
      <c r="AC146" s="43">
        <v>17</v>
      </c>
      <c r="AD146" s="43">
        <v>24</v>
      </c>
      <c r="AE146" s="43">
        <v>14</v>
      </c>
      <c r="AF146" s="43">
        <v>550</v>
      </c>
      <c r="AM146" s="43">
        <v>104</v>
      </c>
      <c r="AN146" s="43">
        <v>0</v>
      </c>
      <c r="AO146" s="43">
        <v>5</v>
      </c>
      <c r="AP146" s="43">
        <v>5</v>
      </c>
      <c r="AQ146" s="43">
        <v>30</v>
      </c>
      <c r="AR146" s="43">
        <v>2</v>
      </c>
      <c r="AS146" s="43">
        <v>0</v>
      </c>
      <c r="AT146" s="43">
        <f>SUM(AN146:AS146)</f>
        <v>42</v>
      </c>
      <c r="BA146" s="43">
        <v>18</v>
      </c>
      <c r="BB146" s="30">
        <f>SUM(AM146,AT146,BA146)</f>
        <v>164</v>
      </c>
      <c r="BN146" s="30" t="s">
        <v>1576</v>
      </c>
      <c r="BO146" s="30">
        <v>96</v>
      </c>
      <c r="BP146" s="43" t="s">
        <v>1576</v>
      </c>
      <c r="BQ146" s="43">
        <v>11</v>
      </c>
      <c r="BR146" s="372" t="s">
        <v>1835</v>
      </c>
      <c r="BS146" s="372" t="s">
        <v>1576</v>
      </c>
      <c r="BW146" s="425" t="s">
        <v>1621</v>
      </c>
    </row>
    <row r="147" spans="1:77" ht="16" customHeight="1" outlineLevel="1" x14ac:dyDescent="0.25">
      <c r="A147" s="51"/>
      <c r="B147" s="31"/>
      <c r="C147" t="s">
        <v>1836</v>
      </c>
      <c r="H147" s="60"/>
      <c r="I147" s="30"/>
      <c r="M147" s="43" t="s">
        <v>1837</v>
      </c>
      <c r="N147" s="268" t="s">
        <v>1838</v>
      </c>
      <c r="O147" s="43" t="s">
        <v>1426</v>
      </c>
      <c r="P147" s="43" t="s">
        <v>1839</v>
      </c>
      <c r="Q147" s="364">
        <v>40346</v>
      </c>
      <c r="R147" s="364">
        <v>40983</v>
      </c>
      <c r="S147" s="268" t="s">
        <v>1840</v>
      </c>
      <c r="T147" s="268" t="s">
        <v>1841</v>
      </c>
      <c r="U147" s="268" t="s">
        <v>1842</v>
      </c>
      <c r="V147" s="268" t="s">
        <v>1843</v>
      </c>
      <c r="W147" s="43">
        <v>1.77</v>
      </c>
      <c r="X147" s="30" t="s">
        <v>1576</v>
      </c>
      <c r="Y147" s="30">
        <v>728</v>
      </c>
      <c r="Z147" s="43" t="s">
        <v>1590</v>
      </c>
      <c r="AA147" s="43" t="s">
        <v>1576</v>
      </c>
      <c r="AB147" s="43" t="s">
        <v>1576</v>
      </c>
      <c r="AC147" s="43" t="s">
        <v>1576</v>
      </c>
      <c r="AD147" s="43" t="s">
        <v>1576</v>
      </c>
      <c r="AE147" s="43" t="s">
        <v>1576</v>
      </c>
      <c r="AF147" s="43">
        <v>411</v>
      </c>
      <c r="AG147" s="43">
        <v>22</v>
      </c>
      <c r="AH147" s="43">
        <v>117</v>
      </c>
      <c r="AI147" s="43">
        <v>167</v>
      </c>
      <c r="AJ147" s="43">
        <v>46</v>
      </c>
      <c r="AK147" s="43">
        <v>0</v>
      </c>
      <c r="AL147" s="43">
        <v>0</v>
      </c>
      <c r="AM147" s="43">
        <f>SUM(AG147:AL147)</f>
        <v>352</v>
      </c>
      <c r="AN147" s="43">
        <v>0</v>
      </c>
      <c r="AO147" s="43">
        <v>19</v>
      </c>
      <c r="AP147" s="43">
        <v>33</v>
      </c>
      <c r="AQ147" s="43">
        <v>27</v>
      </c>
      <c r="AR147" s="43">
        <v>15</v>
      </c>
      <c r="AS147" s="43">
        <v>0</v>
      </c>
      <c r="AT147" s="43">
        <f>SUM(AN147:AS147)</f>
        <v>94</v>
      </c>
      <c r="AU147" s="43">
        <v>0</v>
      </c>
      <c r="AV147" s="43">
        <v>26</v>
      </c>
      <c r="AW147" s="43">
        <v>20</v>
      </c>
      <c r="AX147" s="43">
        <v>10</v>
      </c>
      <c r="AY147" s="43">
        <v>0</v>
      </c>
      <c r="AZ147" s="43">
        <v>0</v>
      </c>
      <c r="BA147" s="43">
        <f>SUM(AU147:AZ147)</f>
        <v>56</v>
      </c>
      <c r="BB147" s="30">
        <f>SUM(AM147,AT147,BA147)</f>
        <v>502</v>
      </c>
      <c r="BN147" s="30">
        <v>169</v>
      </c>
      <c r="BO147" s="30">
        <v>711</v>
      </c>
      <c r="BP147" s="43" t="s">
        <v>1576</v>
      </c>
      <c r="BQ147" s="43">
        <v>10</v>
      </c>
      <c r="BR147" s="372" t="s">
        <v>1844</v>
      </c>
      <c r="BS147" s="372" t="s">
        <v>1845</v>
      </c>
      <c r="BW147" s="425" t="s">
        <v>1846</v>
      </c>
    </row>
    <row r="148" spans="1:77" ht="16" customHeight="1" outlineLevel="1" x14ac:dyDescent="0.25">
      <c r="A148" s="51"/>
      <c r="B148" s="31"/>
      <c r="C148" t="s">
        <v>1847</v>
      </c>
      <c r="H148" s="60"/>
      <c r="I148" s="30"/>
      <c r="M148" s="43" t="s">
        <v>1848</v>
      </c>
      <c r="N148" s="268" t="s">
        <v>1849</v>
      </c>
      <c r="O148" s="43" t="s">
        <v>1714</v>
      </c>
      <c r="P148" s="43" t="s">
        <v>1839</v>
      </c>
      <c r="Q148" s="364" t="s">
        <v>1850</v>
      </c>
      <c r="R148" s="364">
        <v>41179</v>
      </c>
      <c r="S148" s="268" t="s">
        <v>1849</v>
      </c>
      <c r="T148" s="268" t="s">
        <v>1424</v>
      </c>
      <c r="U148" s="268" t="s">
        <v>1851</v>
      </c>
      <c r="V148" s="268" t="s">
        <v>1851</v>
      </c>
      <c r="W148" s="43" t="s">
        <v>1576</v>
      </c>
      <c r="X148" s="30">
        <v>0</v>
      </c>
      <c r="Y148" s="30">
        <v>0</v>
      </c>
      <c r="Z148" s="43" t="s">
        <v>1355</v>
      </c>
      <c r="AA148" s="43">
        <v>0</v>
      </c>
      <c r="AB148" s="43">
        <v>0</v>
      </c>
      <c r="AC148" s="43">
        <v>0</v>
      </c>
      <c r="AD148" s="43">
        <v>0</v>
      </c>
      <c r="AE148" s="43">
        <v>0</v>
      </c>
      <c r="AF148" s="43">
        <v>0</v>
      </c>
      <c r="AG148" s="43">
        <v>0</v>
      </c>
      <c r="AH148" s="43">
        <v>0</v>
      </c>
      <c r="AI148" s="43">
        <v>0</v>
      </c>
      <c r="AJ148" s="43">
        <v>0</v>
      </c>
      <c r="AK148" s="43">
        <v>0</v>
      </c>
      <c r="AL148" s="43">
        <v>0</v>
      </c>
      <c r="AM148" s="43">
        <f>SUM(AG148:AL148)</f>
        <v>0</v>
      </c>
      <c r="AN148" s="43">
        <v>0</v>
      </c>
      <c r="AO148" s="43">
        <v>0</v>
      </c>
      <c r="AP148" s="43">
        <v>0</v>
      </c>
      <c r="AQ148" s="43">
        <v>0</v>
      </c>
      <c r="AR148" s="43">
        <v>0</v>
      </c>
      <c r="AS148" s="43">
        <v>0</v>
      </c>
      <c r="AT148" s="43">
        <f>SUM(AN148:AS148)</f>
        <v>0</v>
      </c>
      <c r="AU148" s="43">
        <v>0</v>
      </c>
      <c r="AV148" s="43">
        <v>0</v>
      </c>
      <c r="AW148" s="43">
        <v>0</v>
      </c>
      <c r="AX148" s="43">
        <v>0</v>
      </c>
      <c r="AY148" s="43">
        <v>0</v>
      </c>
      <c r="AZ148" s="43">
        <v>0</v>
      </c>
      <c r="BA148" s="43">
        <f>SUM(AU148:AZ148)</f>
        <v>0</v>
      </c>
      <c r="BB148" s="30">
        <f>SUM(AM148,AT148,BA148)</f>
        <v>0</v>
      </c>
      <c r="BC148" s="30">
        <v>252</v>
      </c>
      <c r="BN148" s="30">
        <v>0</v>
      </c>
      <c r="BP148" s="43" t="s">
        <v>1576</v>
      </c>
      <c r="BQ148" s="43">
        <v>16</v>
      </c>
      <c r="BR148" s="372" t="s">
        <v>1852</v>
      </c>
      <c r="BS148" s="372" t="s">
        <v>1853</v>
      </c>
      <c r="BW148" s="425" t="s">
        <v>1692</v>
      </c>
    </row>
    <row r="149" spans="1:77" ht="18" customHeight="1" x14ac:dyDescent="0.25">
      <c r="A149" s="49"/>
      <c r="B149" s="31"/>
      <c r="H149" s="60"/>
      <c r="I149" s="53"/>
    </row>
    <row r="150" spans="1:77" ht="6" customHeight="1" x14ac:dyDescent="0.25">
      <c r="A150" s="51"/>
      <c r="B150" s="31"/>
      <c r="H150" s="60"/>
      <c r="I150" s="30"/>
    </row>
    <row r="151" spans="1:77" x14ac:dyDescent="0.2">
      <c r="B151" s="32"/>
      <c r="C151" s="31" t="s">
        <v>1345</v>
      </c>
      <c r="D151" s="31"/>
      <c r="E151" s="31"/>
      <c r="F151" s="241"/>
      <c r="G151" s="31"/>
      <c r="H151" s="137"/>
      <c r="I151" s="270">
        <f>SUM(I146:I150)</f>
        <v>0</v>
      </c>
    </row>
    <row r="152" spans="1:77" x14ac:dyDescent="0.2">
      <c r="B152" s="32"/>
      <c r="C152" s="31" t="s">
        <v>1344</v>
      </c>
      <c r="D152" s="31"/>
      <c r="E152" s="31"/>
      <c r="F152" s="241"/>
      <c r="G152" s="31"/>
      <c r="H152" s="137"/>
      <c r="I152" s="44">
        <f>SUMIF($E146:$E150,"yes",I146:I150)</f>
        <v>0</v>
      </c>
    </row>
    <row r="153" spans="1:77" x14ac:dyDescent="0.2">
      <c r="B153" s="31" t="s">
        <v>202</v>
      </c>
      <c r="H153" s="60"/>
      <c r="I153" s="46" t="e">
        <f>I151+#REF!</f>
        <v>#REF!</v>
      </c>
    </row>
    <row r="154" spans="1:77" ht="19" x14ac:dyDescent="0.25">
      <c r="A154" s="79" t="s">
        <v>253</v>
      </c>
      <c r="B154" s="80"/>
      <c r="C154" s="80"/>
      <c r="D154" s="80"/>
      <c r="E154" s="80"/>
      <c r="F154" s="81"/>
      <c r="G154" s="80"/>
      <c r="H154" s="82"/>
      <c r="I154" s="81"/>
    </row>
    <row r="155" spans="1:77" ht="6" customHeight="1" x14ac:dyDescent="0.25">
      <c r="A155" s="105"/>
      <c r="B155" s="84"/>
      <c r="C155" s="84"/>
      <c r="D155" s="84"/>
      <c r="E155" s="84"/>
      <c r="F155" s="87"/>
      <c r="G155" s="84"/>
      <c r="H155" s="84"/>
      <c r="I155" s="87"/>
    </row>
    <row r="156" spans="1:77" ht="32" x14ac:dyDescent="0.2">
      <c r="A156" s="83"/>
      <c r="B156" s="84"/>
      <c r="C156" s="84"/>
      <c r="D156" s="84"/>
      <c r="E156" s="84"/>
      <c r="F156" s="87"/>
      <c r="G156" s="84"/>
      <c r="H156" s="84"/>
      <c r="I156" s="85" t="s">
        <v>206</v>
      </c>
    </row>
    <row r="157" spans="1:77" ht="6" customHeight="1" x14ac:dyDescent="0.2">
      <c r="A157" s="83"/>
      <c r="B157" s="84"/>
      <c r="C157" s="84"/>
      <c r="D157" s="84"/>
      <c r="E157" s="84"/>
      <c r="F157" s="87"/>
      <c r="G157" s="84"/>
      <c r="H157" s="84"/>
      <c r="I157" s="87"/>
    </row>
    <row r="158" spans="1:77" x14ac:dyDescent="0.2">
      <c r="A158" s="90"/>
      <c r="B158" s="98" t="s">
        <v>203</v>
      </c>
      <c r="C158" s="84"/>
      <c r="D158" s="84"/>
      <c r="E158" s="84"/>
      <c r="F158" s="87"/>
      <c r="G158" s="84"/>
      <c r="H158" s="84"/>
      <c r="I158" s="36">
        <f>I10+I64+I108</f>
        <v>18624</v>
      </c>
    </row>
    <row r="159" spans="1:77" ht="6" customHeight="1" x14ac:dyDescent="0.2">
      <c r="A159" s="90"/>
      <c r="B159" s="98"/>
      <c r="C159" s="84"/>
      <c r="D159" s="84"/>
      <c r="E159" s="84"/>
      <c r="F159" s="87"/>
      <c r="G159" s="84"/>
      <c r="H159" s="84"/>
      <c r="I159" s="36"/>
    </row>
    <row r="160" spans="1:77" s="31" customFormat="1" x14ac:dyDescent="0.2">
      <c r="A160" s="97"/>
      <c r="B160" s="98" t="s">
        <v>272</v>
      </c>
      <c r="C160" s="98"/>
      <c r="D160" s="98"/>
      <c r="E160" s="98"/>
      <c r="F160" s="125"/>
      <c r="G160" s="98"/>
      <c r="H160" s="98"/>
      <c r="I160" s="53">
        <f>I123+I97+I49</f>
        <v>50913</v>
      </c>
      <c r="J160"/>
      <c r="K160"/>
      <c r="M160" s="241"/>
      <c r="N160" s="363"/>
      <c r="O160" s="241"/>
      <c r="P160" s="241"/>
      <c r="Q160" s="368"/>
      <c r="R160" s="368"/>
      <c r="S160" s="241"/>
      <c r="T160" s="241"/>
      <c r="U160" s="241"/>
      <c r="V160" s="241"/>
      <c r="W160" s="241"/>
      <c r="X160" s="44"/>
      <c r="Y160" s="44"/>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44"/>
      <c r="BC160" s="44"/>
      <c r="BD160" s="44"/>
      <c r="BE160" s="44"/>
      <c r="BF160" s="44"/>
      <c r="BG160" s="44"/>
      <c r="BH160" s="44"/>
      <c r="BI160" s="44"/>
      <c r="BJ160" s="44"/>
      <c r="BK160" s="44"/>
      <c r="BL160" s="44"/>
      <c r="BM160" s="44"/>
      <c r="BN160" s="44"/>
      <c r="BO160" s="44"/>
      <c r="BP160" s="241"/>
      <c r="BQ160" s="241"/>
      <c r="BR160" s="376"/>
      <c r="BS160" s="376"/>
      <c r="BT160" s="241"/>
      <c r="BU160" s="241"/>
      <c r="BV160" s="241"/>
      <c r="BW160" s="241"/>
      <c r="BX160" s="241"/>
      <c r="BY160" s="241"/>
    </row>
    <row r="161" spans="1:77" s="31" customFormat="1" x14ac:dyDescent="0.2">
      <c r="A161" s="97"/>
      <c r="B161" s="98"/>
      <c r="C161" s="98" t="s">
        <v>1347</v>
      </c>
      <c r="D161" s="98"/>
      <c r="E161" s="98"/>
      <c r="F161" s="125"/>
      <c r="G161" s="98"/>
      <c r="H161" s="98"/>
      <c r="I161" s="53">
        <f ca="1">I48+I96+I122</f>
        <v>12362</v>
      </c>
      <c r="J161"/>
      <c r="K161"/>
      <c r="M161" s="241"/>
      <c r="N161" s="363"/>
      <c r="O161" s="241"/>
      <c r="P161" s="241"/>
      <c r="Q161" s="368"/>
      <c r="R161" s="368"/>
      <c r="S161" s="241"/>
      <c r="T161" s="241"/>
      <c r="U161" s="241"/>
      <c r="V161" s="241"/>
      <c r="W161" s="241"/>
      <c r="X161" s="44"/>
      <c r="Y161" s="44"/>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44"/>
      <c r="BC161" s="44"/>
      <c r="BD161" s="44"/>
      <c r="BE161" s="44"/>
      <c r="BF161" s="44"/>
      <c r="BG161" s="44"/>
      <c r="BH161" s="44"/>
      <c r="BI161" s="44"/>
      <c r="BJ161" s="44"/>
      <c r="BK161" s="44"/>
      <c r="BL161" s="44"/>
      <c r="BM161" s="44"/>
      <c r="BN161" s="44"/>
      <c r="BO161" s="44"/>
      <c r="BP161" s="241"/>
      <c r="BQ161" s="241"/>
      <c r="BR161" s="376"/>
      <c r="BS161" s="376"/>
      <c r="BT161" s="241"/>
      <c r="BU161" s="241"/>
      <c r="BV161" s="241"/>
      <c r="BW161" s="241"/>
      <c r="BX161" s="241"/>
      <c r="BY161" s="241"/>
    </row>
    <row r="162" spans="1:77" x14ac:dyDescent="0.2">
      <c r="A162" s="90"/>
      <c r="C162" s="84" t="s">
        <v>254</v>
      </c>
      <c r="D162" s="84"/>
      <c r="E162" s="84"/>
      <c r="F162" s="87"/>
      <c r="G162" s="84"/>
      <c r="H162" s="84"/>
      <c r="I162" s="36">
        <f>I160-I158</f>
        <v>32289</v>
      </c>
    </row>
    <row r="163" spans="1:77" x14ac:dyDescent="0.2">
      <c r="A163" s="90"/>
      <c r="C163" s="84" t="s">
        <v>255</v>
      </c>
      <c r="D163" s="84"/>
      <c r="E163" s="84"/>
      <c r="F163" s="87"/>
      <c r="G163" s="84"/>
      <c r="H163" s="84"/>
      <c r="I163" s="438">
        <f>I160/I158-1</f>
        <v>1.7337306701030926</v>
      </c>
      <c r="M163" s="154" t="s">
        <v>24</v>
      </c>
      <c r="N163" s="154"/>
      <c r="O163" s="154" t="s">
        <v>200</v>
      </c>
      <c r="P163" s="154" t="s">
        <v>199</v>
      </c>
      <c r="Q163" s="369" t="s">
        <v>378</v>
      </c>
    </row>
    <row r="164" spans="1:77" ht="6" customHeight="1" x14ac:dyDescent="0.2">
      <c r="A164" s="90"/>
      <c r="B164" s="84"/>
      <c r="C164" s="84"/>
      <c r="D164" s="84"/>
      <c r="E164" s="84"/>
      <c r="F164" s="87"/>
      <c r="G164" s="84"/>
      <c r="H164" s="84"/>
      <c r="I164" s="36"/>
    </row>
    <row r="165" spans="1:77" x14ac:dyDescent="0.2">
      <c r="A165" s="90"/>
      <c r="B165" s="98" t="s">
        <v>273</v>
      </c>
      <c r="C165" s="84"/>
      <c r="D165" s="84"/>
      <c r="E165" s="84"/>
      <c r="F165" s="87"/>
      <c r="G165" s="84"/>
      <c r="H165" s="84"/>
      <c r="I165" s="53">
        <f>I103+I123+I58</f>
        <v>53213</v>
      </c>
      <c r="L165" s="65" t="s">
        <v>380</v>
      </c>
      <c r="M165" s="30" t="e">
        <f>#REF!</f>
        <v>#REF!</v>
      </c>
      <c r="N165" s="269"/>
      <c r="O165" s="30" t="e">
        <f>#REF!</f>
        <v>#REF!</v>
      </c>
      <c r="P165" s="30" t="e">
        <f>#REF!</f>
        <v>#REF!</v>
      </c>
      <c r="Q165" s="364" t="e">
        <f>SUM(M165:P165)</f>
        <v>#REF!</v>
      </c>
    </row>
    <row r="166" spans="1:77" x14ac:dyDescent="0.2">
      <c r="A166" s="90"/>
      <c r="C166" s="84" t="s">
        <v>254</v>
      </c>
      <c r="D166" s="84"/>
      <c r="E166" s="84"/>
      <c r="F166" s="87"/>
      <c r="G166" s="84"/>
      <c r="H166" s="84"/>
      <c r="I166" s="36">
        <f>I165-I158</f>
        <v>34589</v>
      </c>
      <c r="L166" s="152" t="s">
        <v>379</v>
      </c>
      <c r="M166" s="30" t="e">
        <f>#REF!+#REF!</f>
        <v>#REF!</v>
      </c>
      <c r="N166" s="269"/>
      <c r="O166" s="43">
        <v>0</v>
      </c>
      <c r="P166" s="43">
        <v>0</v>
      </c>
      <c r="Q166" s="364" t="e">
        <f>SUM(M166:P166)</f>
        <v>#REF!</v>
      </c>
    </row>
    <row r="167" spans="1:77" x14ac:dyDescent="0.2">
      <c r="A167" s="90"/>
      <c r="C167" s="84" t="s">
        <v>255</v>
      </c>
      <c r="D167" s="84"/>
      <c r="E167" s="84"/>
      <c r="F167" s="87"/>
      <c r="G167" s="84"/>
      <c r="H167" s="84"/>
      <c r="I167" s="438">
        <f>I165/I158-1</f>
        <v>1.857227233676976</v>
      </c>
      <c r="L167" s="65" t="s">
        <v>1383</v>
      </c>
      <c r="M167" s="30" t="e">
        <f>#REF!</f>
        <v>#REF!</v>
      </c>
      <c r="N167" s="269"/>
      <c r="O167" s="30" t="e">
        <f>#REF!</f>
        <v>#REF!</v>
      </c>
      <c r="P167" s="30" t="e">
        <f>#REF!</f>
        <v>#REF!</v>
      </c>
      <c r="Q167" s="364" t="e">
        <f>SUM(M167:P167)</f>
        <v>#REF!</v>
      </c>
    </row>
    <row r="168" spans="1:77" x14ac:dyDescent="0.2">
      <c r="A168" s="90"/>
      <c r="C168" s="84"/>
      <c r="D168" s="84"/>
      <c r="E168" s="84"/>
      <c r="F168" s="87"/>
      <c r="G168" s="84"/>
      <c r="H168" s="84"/>
      <c r="I168" s="438"/>
      <c r="L168" s="65" t="s">
        <v>447</v>
      </c>
      <c r="M168" s="30" t="e">
        <f>#REF!-#REF!</f>
        <v>#REF!</v>
      </c>
      <c r="N168" s="269"/>
      <c r="O168" s="30" t="e">
        <f>#REF!-#REF!</f>
        <v>#REF!</v>
      </c>
      <c r="P168" s="30" t="e">
        <f>#REF!-#REF!</f>
        <v>#REF!</v>
      </c>
      <c r="Q168" s="364" t="e">
        <f>SUM(M168:P168)</f>
        <v>#REF!</v>
      </c>
    </row>
    <row r="169" spans="1:77" x14ac:dyDescent="0.2">
      <c r="A169" s="90"/>
      <c r="B169" s="180" t="s">
        <v>497</v>
      </c>
      <c r="C169" s="84"/>
      <c r="D169" s="84"/>
      <c r="E169" s="84"/>
      <c r="F169" s="87"/>
      <c r="G169" s="84"/>
      <c r="H169" s="84"/>
      <c r="I169" s="181" t="e">
        <f>#REF!/2</f>
        <v>#REF!</v>
      </c>
      <c r="L169" s="65" t="s">
        <v>377</v>
      </c>
      <c r="M169" s="30" t="e">
        <f>#REF!</f>
        <v>#REF!</v>
      </c>
      <c r="N169" s="269"/>
      <c r="O169" s="30" t="e">
        <f>#REF!</f>
        <v>#REF!</v>
      </c>
      <c r="Q169" s="364" t="e">
        <f>SUM(M169:P169)</f>
        <v>#REF!</v>
      </c>
    </row>
    <row r="170" spans="1:77" x14ac:dyDescent="0.2">
      <c r="A170" s="90"/>
      <c r="B170" s="175" t="s">
        <v>496</v>
      </c>
      <c r="C170" s="84"/>
      <c r="D170" s="84"/>
      <c r="E170" s="84"/>
      <c r="F170" s="87"/>
      <c r="G170" s="84"/>
      <c r="H170" s="84"/>
      <c r="I170" s="179" t="e">
        <f>I169+SUM(I19,I21,I23:I25,I27,I29:I30,I36:I38,I40,I81,I87,I41,I80)</f>
        <v>#REF!</v>
      </c>
      <c r="L170" s="65"/>
      <c r="M170" s="30"/>
      <c r="N170" s="269"/>
      <c r="O170" s="30"/>
      <c r="P170" s="30"/>
    </row>
    <row r="171" spans="1:77" x14ac:dyDescent="0.2">
      <c r="A171" s="90"/>
      <c r="B171" s="175" t="s">
        <v>495</v>
      </c>
      <c r="C171" s="84"/>
      <c r="D171" s="84"/>
      <c r="E171" s="84"/>
      <c r="F171" s="87"/>
      <c r="G171" s="84"/>
      <c r="H171" s="84"/>
      <c r="I171" s="179" t="e">
        <f>I170+SUM(I99:I100,I55,I52)</f>
        <v>#REF!</v>
      </c>
      <c r="L171" s="65"/>
      <c r="M171" s="30"/>
      <c r="N171" s="269"/>
      <c r="O171" s="30"/>
      <c r="P171" s="30"/>
    </row>
    <row r="172" spans="1:77" x14ac:dyDescent="0.2">
      <c r="A172" s="91"/>
      <c r="B172" s="92"/>
      <c r="C172" s="92"/>
      <c r="D172" s="92"/>
      <c r="E172" s="92"/>
      <c r="F172" s="93"/>
      <c r="G172" s="92"/>
      <c r="H172" s="92"/>
      <c r="I172" s="96" t="e">
        <f>I171-I169</f>
        <v>#REF!</v>
      </c>
    </row>
    <row r="173" spans="1:77" x14ac:dyDescent="0.2">
      <c r="A173" s="84"/>
      <c r="B173" s="84"/>
      <c r="C173" s="84"/>
      <c r="D173" s="84"/>
      <c r="E173" s="84"/>
      <c r="F173" s="87"/>
      <c r="G173" s="439"/>
      <c r="H173" s="84"/>
      <c r="I173" s="87"/>
      <c r="L173" s="65"/>
      <c r="M173" s="30"/>
      <c r="N173" s="269"/>
      <c r="O173" s="30"/>
      <c r="P173" s="30"/>
    </row>
    <row r="175" spans="1:77" ht="19" x14ac:dyDescent="0.25">
      <c r="A175" s="79" t="s">
        <v>277</v>
      </c>
      <c r="B175" s="80"/>
      <c r="C175" s="80"/>
      <c r="D175" s="80"/>
      <c r="E175" s="80"/>
      <c r="F175" s="81"/>
      <c r="G175" s="80"/>
      <c r="H175" s="80"/>
      <c r="I175" s="81"/>
    </row>
    <row r="176" spans="1:77" ht="19" x14ac:dyDescent="0.25">
      <c r="A176" s="105"/>
      <c r="B176" s="84"/>
      <c r="C176" s="84"/>
      <c r="D176" s="84"/>
      <c r="E176" s="84"/>
      <c r="F176" s="87"/>
      <c r="G176" s="118"/>
      <c r="H176" s="271"/>
      <c r="I176" s="117" t="s">
        <v>278</v>
      </c>
    </row>
    <row r="177" spans="1:9" ht="80" x14ac:dyDescent="0.2">
      <c r="A177" s="90"/>
      <c r="B177" s="84"/>
      <c r="C177" s="84"/>
      <c r="D177" s="84"/>
      <c r="E177" s="84"/>
      <c r="F177" s="87"/>
      <c r="G177" s="103" t="s">
        <v>270</v>
      </c>
      <c r="H177" s="100"/>
      <c r="I177" s="100" t="s">
        <v>281</v>
      </c>
    </row>
    <row r="178" spans="1:9" x14ac:dyDescent="0.2">
      <c r="A178" s="90"/>
      <c r="B178" s="84"/>
      <c r="C178" s="84"/>
      <c r="D178" s="84"/>
      <c r="E178" s="84"/>
      <c r="F178" s="87"/>
      <c r="G178" s="89"/>
      <c r="H178" s="84"/>
      <c r="I178" s="87"/>
    </row>
    <row r="179" spans="1:9" x14ac:dyDescent="0.2">
      <c r="A179" s="90"/>
      <c r="B179" s="84"/>
      <c r="C179" s="101" t="s">
        <v>271</v>
      </c>
      <c r="D179" s="101"/>
      <c r="E179" s="101"/>
      <c r="F179" s="62"/>
      <c r="G179" s="102" t="e">
        <f>#REF!</f>
        <v>#REF!</v>
      </c>
      <c r="H179" s="88"/>
      <c r="I179" s="95" t="e">
        <f>G179/15*7</f>
        <v>#REF!</v>
      </c>
    </row>
    <row r="180" spans="1:9" x14ac:dyDescent="0.2">
      <c r="A180" s="90"/>
      <c r="B180" s="84"/>
      <c r="C180" s="101"/>
      <c r="D180" s="101"/>
      <c r="E180" s="101"/>
      <c r="F180" s="62"/>
      <c r="G180" s="102"/>
      <c r="H180" s="88"/>
      <c r="I180" s="95"/>
    </row>
    <row r="181" spans="1:9" x14ac:dyDescent="0.2">
      <c r="A181" s="90"/>
      <c r="B181" s="84"/>
      <c r="C181" s="101" t="s">
        <v>274</v>
      </c>
      <c r="D181" s="101"/>
      <c r="E181" s="101"/>
      <c r="F181" s="62"/>
      <c r="G181" s="102" t="e">
        <f>#REF!</f>
        <v>#REF!</v>
      </c>
      <c r="H181" s="88"/>
      <c r="I181" s="95" t="e">
        <f>G181/15*7</f>
        <v>#REF!</v>
      </c>
    </row>
    <row r="182" spans="1:9" x14ac:dyDescent="0.2">
      <c r="A182" s="90"/>
      <c r="B182" s="84"/>
      <c r="C182" s="101"/>
      <c r="D182" s="101"/>
      <c r="E182" s="101"/>
      <c r="F182" s="62"/>
      <c r="G182" s="89"/>
      <c r="H182" s="84"/>
      <c r="I182" s="95"/>
    </row>
    <row r="183" spans="1:9" x14ac:dyDescent="0.2">
      <c r="A183" s="90"/>
      <c r="B183" s="84"/>
      <c r="C183" s="101" t="s">
        <v>273</v>
      </c>
      <c r="D183" s="101"/>
      <c r="E183" s="101"/>
      <c r="F183" s="62"/>
      <c r="G183" s="102" t="e">
        <f>#REF!</f>
        <v>#REF!</v>
      </c>
      <c r="H183" s="88"/>
      <c r="I183" s="95" t="e">
        <f>G183/15*7</f>
        <v>#REF!</v>
      </c>
    </row>
    <row r="184" spans="1:9" x14ac:dyDescent="0.2">
      <c r="A184" s="90"/>
      <c r="B184" s="84"/>
      <c r="C184" s="84"/>
      <c r="D184" s="84"/>
      <c r="E184" s="84"/>
      <c r="F184" s="87"/>
      <c r="G184" s="102"/>
      <c r="H184" s="88"/>
      <c r="I184" s="96"/>
    </row>
    <row r="185" spans="1:9" x14ac:dyDescent="0.2">
      <c r="A185" s="91"/>
      <c r="B185" s="92"/>
      <c r="C185" s="92" t="s">
        <v>304</v>
      </c>
      <c r="D185" s="92"/>
      <c r="E185" s="92"/>
      <c r="F185" s="93"/>
      <c r="G185" s="92"/>
      <c r="H185" s="92"/>
      <c r="I185" s="93"/>
    </row>
    <row r="186" spans="1:9" x14ac:dyDescent="0.2">
      <c r="C186" s="195"/>
      <c r="D186" s="249"/>
      <c r="E186" s="249"/>
    </row>
    <row r="187" spans="1:9" x14ac:dyDescent="0.2">
      <c r="C187" s="195"/>
      <c r="D187" s="250"/>
      <c r="E187" s="250"/>
      <c r="F187" s="440"/>
      <c r="G187" s="172"/>
      <c r="H187" s="43"/>
    </row>
    <row r="188" spans="1:9" x14ac:dyDescent="0.2">
      <c r="C188" s="195"/>
      <c r="D188" s="250"/>
      <c r="E188" s="250"/>
      <c r="H188" s="43"/>
    </row>
    <row r="189" spans="1:9" x14ac:dyDescent="0.2">
      <c r="C189" s="251"/>
      <c r="D189" s="252"/>
      <c r="E189" s="252"/>
      <c r="H189" s="43"/>
    </row>
    <row r="190" spans="1:9" x14ac:dyDescent="0.2">
      <c r="C190" s="253"/>
      <c r="D190" s="252"/>
      <c r="E190" s="252"/>
      <c r="H190" s="43"/>
    </row>
    <row r="191" spans="1:9" x14ac:dyDescent="0.2">
      <c r="C191" s="195"/>
      <c r="D191" s="250"/>
      <c r="E191" s="250"/>
      <c r="H191" s="43"/>
    </row>
    <row r="192" spans="1:9" x14ac:dyDescent="0.2">
      <c r="C192" s="195"/>
      <c r="D192" s="250"/>
      <c r="E192" s="250"/>
      <c r="H192" s="43"/>
    </row>
    <row r="204" spans="3:9" ht="49" thickBot="1" x14ac:dyDescent="0.25">
      <c r="G204" s="38" t="s">
        <v>208</v>
      </c>
      <c r="H204" s="38"/>
      <c r="I204" s="38" t="s">
        <v>211</v>
      </c>
    </row>
    <row r="205" spans="3:9" ht="6" customHeight="1" x14ac:dyDescent="0.2"/>
    <row r="206" spans="3:9" x14ac:dyDescent="0.2">
      <c r="C206" t="s">
        <v>380</v>
      </c>
    </row>
    <row r="207" spans="3:9" ht="6" customHeight="1" x14ac:dyDescent="0.2"/>
    <row r="208" spans="3:9" x14ac:dyDescent="0.2">
      <c r="C208" t="s">
        <v>296</v>
      </c>
      <c r="G208" s="43">
        <v>40</v>
      </c>
      <c r="H208" s="43"/>
      <c r="I208" s="30">
        <v>1550</v>
      </c>
    </row>
    <row r="209" spans="3:9" x14ac:dyDescent="0.2">
      <c r="C209" t="s">
        <v>434</v>
      </c>
      <c r="G209" s="43">
        <v>75</v>
      </c>
      <c r="H209" s="43"/>
      <c r="I209" s="30">
        <v>984</v>
      </c>
    </row>
    <row r="210" spans="3:9" x14ac:dyDescent="0.2">
      <c r="C210" t="s">
        <v>178</v>
      </c>
      <c r="G210" s="43">
        <v>42</v>
      </c>
      <c r="H210" s="43"/>
      <c r="I210" s="30">
        <v>909</v>
      </c>
    </row>
    <row r="211" spans="3:9" ht="18" customHeight="1" x14ac:dyDescent="0.2">
      <c r="C211" t="s">
        <v>367</v>
      </c>
      <c r="G211" s="43">
        <v>68</v>
      </c>
      <c r="H211" s="43"/>
      <c r="I211" s="30">
        <v>890</v>
      </c>
    </row>
    <row r="212" spans="3:9" ht="18.75" customHeight="1" x14ac:dyDescent="0.2">
      <c r="C212" s="33" t="s">
        <v>368</v>
      </c>
      <c r="D212" s="33"/>
      <c r="E212" s="33"/>
      <c r="F212" s="61"/>
      <c r="G212" s="61">
        <v>55</v>
      </c>
      <c r="H212" s="61"/>
      <c r="I212" s="34">
        <v>756</v>
      </c>
    </row>
    <row r="213" spans="3:9" x14ac:dyDescent="0.2">
      <c r="C213" s="126" t="s">
        <v>437</v>
      </c>
      <c r="D213" s="126"/>
      <c r="E213" s="126"/>
      <c r="F213" s="64"/>
      <c r="G213" s="62">
        <v>60</v>
      </c>
      <c r="H213" s="62"/>
      <c r="I213" s="36">
        <v>712</v>
      </c>
    </row>
    <row r="214" spans="3:9" x14ac:dyDescent="0.2">
      <c r="C214" s="126" t="s">
        <v>433</v>
      </c>
      <c r="D214" s="126"/>
      <c r="E214" s="126"/>
      <c r="F214" s="64"/>
      <c r="G214" s="62" t="s">
        <v>11</v>
      </c>
      <c r="H214" s="62"/>
      <c r="I214" s="36">
        <v>650</v>
      </c>
    </row>
    <row r="215" spans="3:9" x14ac:dyDescent="0.2">
      <c r="C215" s="37" t="s">
        <v>303</v>
      </c>
      <c r="D215" s="37"/>
      <c r="E215" s="37"/>
      <c r="F215" s="63"/>
      <c r="G215" s="63">
        <v>58</v>
      </c>
      <c r="H215" s="63"/>
      <c r="I215" s="45">
        <v>575</v>
      </c>
    </row>
    <row r="216" spans="3:9" ht="19.5" customHeight="1" x14ac:dyDescent="0.2">
      <c r="C216" s="35" t="s">
        <v>435</v>
      </c>
      <c r="D216" s="35"/>
      <c r="E216" s="35"/>
      <c r="F216" s="62"/>
      <c r="G216" s="62">
        <v>32</v>
      </c>
      <c r="H216" s="62"/>
      <c r="I216" s="36">
        <v>546</v>
      </c>
    </row>
    <row r="217" spans="3:9" ht="17.25" customHeight="1" x14ac:dyDescent="0.2">
      <c r="C217" s="35" t="s">
        <v>436</v>
      </c>
      <c r="D217" s="35"/>
      <c r="E217" s="35"/>
      <c r="F217" s="62"/>
      <c r="G217" s="64">
        <v>67</v>
      </c>
      <c r="H217" s="64"/>
      <c r="I217" s="36">
        <v>496</v>
      </c>
    </row>
    <row r="218" spans="3:9" x14ac:dyDescent="0.2">
      <c r="C218" t="s">
        <v>440</v>
      </c>
      <c r="G218" s="43">
        <v>53</v>
      </c>
      <c r="H218" s="43"/>
      <c r="I218" s="30">
        <v>423</v>
      </c>
    </row>
    <row r="219" spans="3:9" x14ac:dyDescent="0.2">
      <c r="C219" s="35" t="s">
        <v>28</v>
      </c>
      <c r="D219" s="35"/>
      <c r="E219" s="35"/>
      <c r="F219" s="62"/>
      <c r="G219" s="62">
        <v>53</v>
      </c>
      <c r="H219" s="62"/>
      <c r="I219" s="36">
        <v>410</v>
      </c>
    </row>
    <row r="220" spans="3:9" x14ac:dyDescent="0.2">
      <c r="C220" s="35" t="s">
        <v>267</v>
      </c>
      <c r="D220" s="35"/>
      <c r="E220" s="35"/>
      <c r="F220" s="62"/>
      <c r="G220" s="62">
        <v>39</v>
      </c>
      <c r="H220" s="62"/>
      <c r="I220" s="36">
        <v>305</v>
      </c>
    </row>
    <row r="221" spans="3:9" x14ac:dyDescent="0.2">
      <c r="C221" t="s">
        <v>438</v>
      </c>
      <c r="G221" s="43">
        <v>39</v>
      </c>
      <c r="H221" s="43"/>
      <c r="I221" s="30">
        <v>275</v>
      </c>
    </row>
    <row r="222" spans="3:9" x14ac:dyDescent="0.2">
      <c r="C222" t="s">
        <v>439</v>
      </c>
      <c r="G222" s="43">
        <v>47</v>
      </c>
      <c r="H222" s="43"/>
      <c r="I222" s="30">
        <v>249</v>
      </c>
    </row>
    <row r="223" spans="3:9" x14ac:dyDescent="0.2">
      <c r="C223" t="s">
        <v>47</v>
      </c>
      <c r="G223" s="43">
        <v>31</v>
      </c>
      <c r="H223" s="43"/>
      <c r="I223" s="30">
        <v>121</v>
      </c>
    </row>
    <row r="224" spans="3:9" x14ac:dyDescent="0.2">
      <c r="I224" s="30"/>
    </row>
    <row r="225" spans="9:9" x14ac:dyDescent="0.2">
      <c r="I225" s="46">
        <f>SUM(I206:I223)</f>
        <v>9851</v>
      </c>
    </row>
    <row r="226" spans="9:9" x14ac:dyDescent="0.2">
      <c r="I226" s="157" t="s">
        <v>441</v>
      </c>
    </row>
  </sheetData>
  <pageMargins left="0.16" right="0.16" top="0.41000000000000009" bottom="0.8" header="0.5" footer="0.10999999999999999"/>
  <pageSetup paperSize="9" scale="51" fitToHeight="2" orientation="portrait"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146"/>
  <sheetViews>
    <sheetView showGridLines="0" workbookViewId="0">
      <selection activeCell="D48" sqref="C1:K48"/>
    </sheetView>
  </sheetViews>
  <sheetFormatPr baseColWidth="10" defaultRowHeight="16" outlineLevelRow="1" x14ac:dyDescent="0.2"/>
  <cols>
    <col min="1" max="1" width="40" customWidth="1"/>
    <col min="2" max="2" width="13.1640625" customWidth="1"/>
    <col min="3" max="3" width="10.6640625" bestFit="1" customWidth="1"/>
    <col min="4" max="4" width="11.83203125" bestFit="1" customWidth="1"/>
    <col min="5" max="6" width="11.83203125" customWidth="1"/>
    <col min="7" max="7" width="11.6640625" bestFit="1" customWidth="1"/>
    <col min="8" max="9" width="11.6640625" customWidth="1"/>
    <col min="10" max="10" width="10.83203125" bestFit="1" customWidth="1"/>
    <col min="11" max="11" width="11.33203125" customWidth="1"/>
    <col min="12" max="12" width="13.1640625" customWidth="1"/>
    <col min="13" max="13" width="42.1640625" customWidth="1"/>
  </cols>
  <sheetData>
    <row r="1" spans="1:14" ht="24" customHeight="1" x14ac:dyDescent="0.3">
      <c r="A1" s="49" t="s">
        <v>2066</v>
      </c>
      <c r="J1" s="569"/>
    </row>
    <row r="2" spans="1:14" ht="21" x14ac:dyDescent="0.25">
      <c r="A2" s="51" t="s">
        <v>2004</v>
      </c>
    </row>
    <row r="4" spans="1:14" x14ac:dyDescent="0.2">
      <c r="B4" s="268"/>
      <c r="C4" s="597" t="s">
        <v>2002</v>
      </c>
      <c r="D4" s="598"/>
      <c r="E4" s="598"/>
      <c r="F4" s="598"/>
      <c r="G4" s="598"/>
      <c r="H4" s="598"/>
      <c r="I4" s="598"/>
      <c r="J4" s="598"/>
      <c r="K4" s="599"/>
    </row>
    <row r="5" spans="1:14" ht="56" customHeight="1" thickBot="1" x14ac:dyDescent="0.25">
      <c r="B5" s="378" t="s">
        <v>1507</v>
      </c>
      <c r="C5" s="379" t="s">
        <v>2020</v>
      </c>
      <c r="D5" s="378" t="s">
        <v>1121</v>
      </c>
      <c r="E5" s="378" t="s">
        <v>1927</v>
      </c>
      <c r="F5" s="378" t="s">
        <v>2008</v>
      </c>
      <c r="G5" s="378" t="s">
        <v>2009</v>
      </c>
      <c r="H5" s="378" t="s">
        <v>1917</v>
      </c>
      <c r="I5" s="380" t="s">
        <v>238</v>
      </c>
      <c r="J5" s="378" t="s">
        <v>1511</v>
      </c>
      <c r="K5" s="380" t="s">
        <v>238</v>
      </c>
      <c r="L5" s="381" t="s">
        <v>31</v>
      </c>
    </row>
    <row r="6" spans="1:14" x14ac:dyDescent="0.2">
      <c r="B6" s="268"/>
      <c r="C6" s="382"/>
      <c r="D6" s="383"/>
      <c r="E6" s="383"/>
      <c r="F6" s="383"/>
      <c r="G6" s="383"/>
      <c r="H6" s="383"/>
      <c r="I6" s="538"/>
      <c r="J6" s="383"/>
      <c r="K6" s="384"/>
    </row>
    <row r="7" spans="1:14" ht="16" customHeight="1" x14ac:dyDescent="0.2">
      <c r="A7" t="s">
        <v>1514</v>
      </c>
      <c r="B7" s="269">
        <f>'Ward Analysis'!Q203</f>
        <v>47208</v>
      </c>
      <c r="C7" s="115">
        <f>'Ward Analysis'!Q162</f>
        <v>5461</v>
      </c>
      <c r="D7" s="30">
        <f>'Ward Analysis'!Q163</f>
        <v>25578</v>
      </c>
      <c r="E7" s="95">
        <f>'Ward Analysis'!Q164</f>
        <v>3842</v>
      </c>
      <c r="F7" s="95">
        <f>'Ward Analysis'!Q165</f>
        <v>8418</v>
      </c>
      <c r="G7" s="95">
        <f>'Ward Analysis'!Q166</f>
        <v>3038</v>
      </c>
      <c r="H7" s="95">
        <f>'Ward Analysis'!Q167</f>
        <v>24258</v>
      </c>
      <c r="I7" s="385">
        <f>SUM(B7:H7)</f>
        <v>117803</v>
      </c>
      <c r="J7" s="95">
        <f>'Ward Analysis'!Q169</f>
        <v>11216</v>
      </c>
      <c r="K7" s="385">
        <f>SUM(I7:J7)</f>
        <v>129019</v>
      </c>
      <c r="L7" s="602" t="s">
        <v>1515</v>
      </c>
      <c r="M7" s="603"/>
    </row>
    <row r="8" spans="1:14" s="387" customFormat="1" ht="14" hidden="1" customHeight="1" outlineLevel="1" x14ac:dyDescent="0.2">
      <c r="A8" s="387" t="s">
        <v>1516</v>
      </c>
      <c r="B8" s="388">
        <f>B7</f>
        <v>47208</v>
      </c>
      <c r="C8" s="389">
        <f>B8+C7</f>
        <v>52669</v>
      </c>
      <c r="D8" s="390">
        <f t="shared" ref="D8:H8" si="0">C8+D7</f>
        <v>78247</v>
      </c>
      <c r="E8" s="390">
        <f t="shared" si="0"/>
        <v>82089</v>
      </c>
      <c r="F8" s="390">
        <f t="shared" si="0"/>
        <v>90507</v>
      </c>
      <c r="G8" s="390">
        <f t="shared" si="0"/>
        <v>93545</v>
      </c>
      <c r="H8" s="390">
        <f t="shared" si="0"/>
        <v>117803</v>
      </c>
      <c r="I8" s="391">
        <f>H8</f>
        <v>117803</v>
      </c>
      <c r="J8" s="390">
        <f>I7+J7</f>
        <v>129019</v>
      </c>
      <c r="K8" s="391">
        <f>J8</f>
        <v>129019</v>
      </c>
      <c r="L8" s="602"/>
      <c r="M8" s="603"/>
      <c r="N8"/>
    </row>
    <row r="9" spans="1:14" s="387" customFormat="1" collapsed="1" x14ac:dyDescent="0.2">
      <c r="A9" s="387" t="s">
        <v>2003</v>
      </c>
      <c r="B9" s="393"/>
      <c r="C9" s="394">
        <f>C8/$B8-1</f>
        <v>0.1156795458396882</v>
      </c>
      <c r="D9" s="539">
        <f t="shared" ref="D9:K9" si="1">D8/$B8-1</f>
        <v>0.65749449245890523</v>
      </c>
      <c r="E9" s="395">
        <f t="shared" si="1"/>
        <v>0.73887900355871894</v>
      </c>
      <c r="F9" s="395">
        <f t="shared" si="1"/>
        <v>0.9171962379257752</v>
      </c>
      <c r="G9" s="395">
        <f t="shared" si="1"/>
        <v>0.98154973733265538</v>
      </c>
      <c r="H9" s="395">
        <f t="shared" si="1"/>
        <v>1.495403321470937</v>
      </c>
      <c r="I9" s="396">
        <f t="shared" si="1"/>
        <v>1.495403321470937</v>
      </c>
      <c r="J9" s="395">
        <f t="shared" si="1"/>
        <v>1.7329901711574309</v>
      </c>
      <c r="K9" s="396">
        <f t="shared" si="1"/>
        <v>1.7329901711574309</v>
      </c>
      <c r="L9" s="602"/>
      <c r="M9" s="603"/>
      <c r="N9"/>
    </row>
    <row r="10" spans="1:14" s="387" customFormat="1" ht="8" customHeight="1" x14ac:dyDescent="0.2">
      <c r="B10" s="393"/>
      <c r="C10" s="398"/>
      <c r="E10" s="399"/>
      <c r="F10" s="399"/>
      <c r="G10" s="399"/>
      <c r="H10" s="399"/>
      <c r="I10" s="400"/>
      <c r="J10" s="399"/>
      <c r="K10" s="400"/>
      <c r="L10" s="219"/>
      <c r="M10" s="219"/>
      <c r="N10"/>
    </row>
    <row r="11" spans="1:14" ht="16" customHeight="1" x14ac:dyDescent="0.2">
      <c r="A11" t="s">
        <v>1518</v>
      </c>
      <c r="B11" s="30">
        <f>'Ward Analysis'!V203</f>
        <v>8315</v>
      </c>
      <c r="C11" s="403">
        <f>'Ward Analysis'!V162</f>
        <v>723.5150000000001</v>
      </c>
      <c r="D11" s="30">
        <f>'Ward Analysis'!V163</f>
        <v>2954.21</v>
      </c>
      <c r="E11" s="95">
        <f>'Ward Analysis'!V164</f>
        <v>358</v>
      </c>
      <c r="F11" s="95">
        <f>'Ward Analysis'!V165</f>
        <v>1218.72</v>
      </c>
      <c r="G11" s="95">
        <f>'Ward Analysis'!V166</f>
        <v>410.13</v>
      </c>
      <c r="H11" s="95">
        <f>'Ward Analysis'!V167</f>
        <v>3274.83</v>
      </c>
      <c r="I11" s="385">
        <f>SUM(B11:H11)</f>
        <v>17254.404999999999</v>
      </c>
      <c r="J11" s="95">
        <f>'Ward Analysis'!V169</f>
        <v>1514.16</v>
      </c>
      <c r="K11" s="385">
        <f>SUM(I11:J11)</f>
        <v>18768.564999999999</v>
      </c>
      <c r="L11" s="602" t="s">
        <v>1519</v>
      </c>
      <c r="M11" s="603"/>
    </row>
    <row r="12" spans="1:14" s="387" customFormat="1" ht="14" hidden="1" customHeight="1" outlineLevel="1" x14ac:dyDescent="0.2">
      <c r="A12" s="387" t="s">
        <v>1516</v>
      </c>
      <c r="B12" s="388">
        <f>B11</f>
        <v>8315</v>
      </c>
      <c r="C12" s="389">
        <f>B12+C11</f>
        <v>9038.5149999999994</v>
      </c>
      <c r="D12" s="390">
        <f t="shared" ref="D12" si="2">C12+D11</f>
        <v>11992.724999999999</v>
      </c>
      <c r="E12" s="390">
        <f t="shared" ref="E12" si="3">D12+E11</f>
        <v>12350.724999999999</v>
      </c>
      <c r="F12" s="390">
        <f t="shared" ref="F12" si="4">E12+F11</f>
        <v>13569.444999999998</v>
      </c>
      <c r="G12" s="390">
        <f t="shared" ref="G12" si="5">F12+G11</f>
        <v>13979.574999999997</v>
      </c>
      <c r="H12" s="390">
        <f t="shared" ref="H12" si="6">G12+H11</f>
        <v>17254.404999999999</v>
      </c>
      <c r="I12" s="391">
        <f>H12</f>
        <v>17254.404999999999</v>
      </c>
      <c r="J12" s="390">
        <f>I11+J11</f>
        <v>18768.564999999999</v>
      </c>
      <c r="K12" s="391">
        <f>J12</f>
        <v>18768.564999999999</v>
      </c>
      <c r="L12" s="602"/>
      <c r="M12" s="603"/>
      <c r="N12"/>
    </row>
    <row r="13" spans="1:14" s="387" customFormat="1" collapsed="1" x14ac:dyDescent="0.2">
      <c r="A13" s="387" t="s">
        <v>2003</v>
      </c>
      <c r="B13" s="273"/>
      <c r="C13" s="394">
        <f>C12/$B12-1</f>
        <v>8.7013229104028866E-2</v>
      </c>
      <c r="D13" s="539">
        <f t="shared" ref="D13" si="7">D12/$B12-1</f>
        <v>0.44230006013229084</v>
      </c>
      <c r="E13" s="395">
        <f t="shared" ref="E13" si="8">E12/$B12-1</f>
        <v>0.48535478051713743</v>
      </c>
      <c r="F13" s="395">
        <f t="shared" ref="F13" si="9">F12/$B12-1</f>
        <v>0.63192363199037849</v>
      </c>
      <c r="G13" s="395">
        <f t="shared" ref="G13" si="10">G12/$B12-1</f>
        <v>0.68124774503908569</v>
      </c>
      <c r="H13" s="395">
        <f t="shared" ref="H13" si="11">H12/$B12-1</f>
        <v>1.0750938063740225</v>
      </c>
      <c r="I13" s="396">
        <f t="shared" ref="I13" si="12">I12/$B12-1</f>
        <v>1.0750938063740225</v>
      </c>
      <c r="J13" s="395">
        <f t="shared" ref="J13" si="13">J12/$B12-1</f>
        <v>1.2571936259771497</v>
      </c>
      <c r="K13" s="396">
        <f t="shared" ref="K13" si="14">K12/$B12-1</f>
        <v>1.2571936259771497</v>
      </c>
      <c r="L13" s="602"/>
      <c r="M13" s="603"/>
      <c r="N13"/>
    </row>
    <row r="14" spans="1:14" s="387" customFormat="1" ht="8" customHeight="1" x14ac:dyDescent="0.2">
      <c r="B14" s="273"/>
      <c r="C14" s="404"/>
      <c r="E14" s="405"/>
      <c r="F14" s="405"/>
      <c r="G14" s="405"/>
      <c r="H14" s="405"/>
      <c r="I14" s="406"/>
      <c r="J14" s="405"/>
      <c r="K14" s="406"/>
      <c r="L14" s="219"/>
      <c r="M14" s="219"/>
      <c r="N14"/>
    </row>
    <row r="15" spans="1:14" ht="16" customHeight="1" x14ac:dyDescent="0.2">
      <c r="A15" t="s">
        <v>1520</v>
      </c>
      <c r="B15" s="30">
        <f>'Ward Analysis'!O203</f>
        <v>21069</v>
      </c>
      <c r="C15" s="408">
        <f>'Ward Analysis'!O162</f>
        <v>2730.5</v>
      </c>
      <c r="D15" s="30">
        <f>'Ward Analysis'!O163</f>
        <v>12789</v>
      </c>
      <c r="E15" s="409">
        <f>'Ward Analysis'!O164</f>
        <v>1921</v>
      </c>
      <c r="F15" s="409">
        <f>'Ward Analysis'!O165</f>
        <v>4209</v>
      </c>
      <c r="G15" s="409">
        <f>'Ward Analysis'!O166</f>
        <v>1519</v>
      </c>
      <c r="H15" s="409">
        <f>'Ward Analysis'!O167</f>
        <v>12129</v>
      </c>
      <c r="I15" s="385">
        <f>SUM(B15:H15)</f>
        <v>56366.5</v>
      </c>
      <c r="J15" s="409">
        <f>'Ward Analysis'!O169</f>
        <v>5608</v>
      </c>
      <c r="K15" s="385">
        <f>SUM(I15:J15)</f>
        <v>61974.5</v>
      </c>
      <c r="L15" s="604" t="s">
        <v>1544</v>
      </c>
      <c r="M15" s="605"/>
    </row>
    <row r="16" spans="1:14" s="387" customFormat="1" ht="14" customHeight="1" outlineLevel="1" x14ac:dyDescent="0.2">
      <c r="A16" s="387" t="s">
        <v>1516</v>
      </c>
      <c r="B16" s="388">
        <f>B15</f>
        <v>21069</v>
      </c>
      <c r="C16" s="389">
        <f>B16+C15</f>
        <v>23799.5</v>
      </c>
      <c r="D16" s="390">
        <f t="shared" ref="D16" si="15">C16+D15</f>
        <v>36588.5</v>
      </c>
      <c r="E16" s="390">
        <f t="shared" ref="E16" si="16">D16+E15</f>
        <v>38509.5</v>
      </c>
      <c r="F16" s="390">
        <f t="shared" ref="F16" si="17">E16+F15</f>
        <v>42718.5</v>
      </c>
      <c r="G16" s="390">
        <f t="shared" ref="G16" si="18">F16+G15</f>
        <v>44237.5</v>
      </c>
      <c r="H16" s="390">
        <f t="shared" ref="H16" si="19">G16+H15</f>
        <v>56366.5</v>
      </c>
      <c r="I16" s="391">
        <f>H16</f>
        <v>56366.5</v>
      </c>
      <c r="J16" s="390">
        <f>I15+J15</f>
        <v>61974.5</v>
      </c>
      <c r="K16" s="391">
        <f>J16</f>
        <v>61974.5</v>
      </c>
      <c r="L16" s="604"/>
      <c r="M16" s="605"/>
      <c r="N16"/>
    </row>
    <row r="17" spans="1:15" s="387" customFormat="1" x14ac:dyDescent="0.2">
      <c r="A17" s="387" t="s">
        <v>2003</v>
      </c>
      <c r="B17" s="273"/>
      <c r="C17" s="394">
        <f>C16/$B16-1</f>
        <v>0.12959798756466845</v>
      </c>
      <c r="D17" s="539">
        <f t="shared" ref="D17" si="20">D16/$B16-1</f>
        <v>0.73660354074706924</v>
      </c>
      <c r="E17" s="395">
        <f t="shared" ref="E17" si="21">E16/$B16-1</f>
        <v>0.82778015093264989</v>
      </c>
      <c r="F17" s="395">
        <f t="shared" ref="F17" si="22">F16/$B16-1</f>
        <v>1.0275523280649295</v>
      </c>
      <c r="G17" s="395">
        <f t="shared" ref="G17" si="23">G16/$B16-1</f>
        <v>1.0996487730789313</v>
      </c>
      <c r="H17" s="395">
        <f t="shared" ref="H17:I17" si="24">H16/$B16-1</f>
        <v>1.6753286819497841</v>
      </c>
      <c r="I17" s="396">
        <f t="shared" si="24"/>
        <v>1.6753286819497841</v>
      </c>
      <c r="J17" s="395">
        <f t="shared" ref="J17:K17" si="25">J16/$B16-1</f>
        <v>1.9415017324030566</v>
      </c>
      <c r="K17" s="396">
        <f t="shared" si="25"/>
        <v>1.9415017324030566</v>
      </c>
      <c r="L17" s="604"/>
      <c r="M17" s="605"/>
      <c r="N17"/>
    </row>
    <row r="18" spans="1:15" s="387" customFormat="1" ht="8" customHeight="1" x14ac:dyDescent="0.2">
      <c r="B18" s="273"/>
      <c r="C18" s="394"/>
      <c r="E18" s="395"/>
      <c r="F18" s="395"/>
      <c r="G18" s="395"/>
      <c r="H18" s="395"/>
      <c r="I18" s="396"/>
      <c r="J18" s="395"/>
      <c r="K18" s="396"/>
      <c r="L18" s="219"/>
      <c r="M18" s="219"/>
      <c r="N18"/>
    </row>
    <row r="19" spans="1:15" ht="16" customHeight="1" x14ac:dyDescent="0.2">
      <c r="A19" t="s">
        <v>1521</v>
      </c>
      <c r="B19" s="30">
        <f>'Ward Analysis'!P203</f>
        <v>1167</v>
      </c>
      <c r="C19" s="115">
        <f>'Ward Analysis'!P162</f>
        <v>130</v>
      </c>
      <c r="D19" s="30">
        <f>'Ward Analysis'!P163</f>
        <v>605</v>
      </c>
      <c r="E19" s="95">
        <f>'Ward Analysis'!P164</f>
        <v>0</v>
      </c>
      <c r="F19" s="95">
        <f>'Ward Analysis'!P165</f>
        <v>273</v>
      </c>
      <c r="G19" s="95">
        <f>'Ward Analysis'!P166</f>
        <v>320</v>
      </c>
      <c r="H19" s="95">
        <f>'Ward Analysis'!P167</f>
        <v>0</v>
      </c>
      <c r="I19" s="385">
        <f>SUM(B19:H19)</f>
        <v>2495</v>
      </c>
      <c r="J19" s="95">
        <f>'Ward Analysis'!P169</f>
        <v>0</v>
      </c>
      <c r="K19" s="385">
        <f>SUM(I19:J19)</f>
        <v>2495</v>
      </c>
      <c r="L19" s="602" t="s">
        <v>2028</v>
      </c>
      <c r="M19" s="603"/>
    </row>
    <row r="20" spans="1:15" s="387" customFormat="1" ht="14" hidden="1" customHeight="1" outlineLevel="1" x14ac:dyDescent="0.2">
      <c r="A20" s="387" t="s">
        <v>1516</v>
      </c>
      <c r="B20" s="388">
        <f>B19</f>
        <v>1167</v>
      </c>
      <c r="C20" s="389">
        <f>B20+C19</f>
        <v>1297</v>
      </c>
      <c r="D20" s="390">
        <f t="shared" ref="D20" si="26">C20+D19</f>
        <v>1902</v>
      </c>
      <c r="E20" s="390">
        <f t="shared" ref="E20" si="27">D20+E19</f>
        <v>1902</v>
      </c>
      <c r="F20" s="390">
        <f t="shared" ref="F20" si="28">E20+F19</f>
        <v>2175</v>
      </c>
      <c r="G20" s="390">
        <f t="shared" ref="G20" si="29">F20+G19</f>
        <v>2495</v>
      </c>
      <c r="H20" s="390">
        <f t="shared" ref="H20" si="30">G20+H19</f>
        <v>2495</v>
      </c>
      <c r="I20" s="391">
        <f>H20</f>
        <v>2495</v>
      </c>
      <c r="J20" s="390">
        <f>I19+J19</f>
        <v>2495</v>
      </c>
      <c r="K20" s="391">
        <f>J20</f>
        <v>2495</v>
      </c>
      <c r="L20" s="602"/>
      <c r="M20" s="603"/>
      <c r="N20"/>
    </row>
    <row r="21" spans="1:15" s="387" customFormat="1" collapsed="1" x14ac:dyDescent="0.2">
      <c r="A21" s="387" t="s">
        <v>2003</v>
      </c>
      <c r="B21" s="273"/>
      <c r="C21" s="394">
        <f>C20/$B20-1</f>
        <v>0.11139674378748921</v>
      </c>
      <c r="D21" s="539">
        <f t="shared" ref="D21" si="31">D20/$B20-1</f>
        <v>0.62982005141388164</v>
      </c>
      <c r="E21" s="395">
        <f t="shared" ref="E21" si="32">E20/$B20-1</f>
        <v>0.62982005141388164</v>
      </c>
      <c r="F21" s="395">
        <f t="shared" ref="F21" si="33">F20/$B20-1</f>
        <v>0.86375321336760935</v>
      </c>
      <c r="G21" s="395">
        <f t="shared" ref="G21" si="34">G20/$B20-1</f>
        <v>1.1379605826906598</v>
      </c>
      <c r="H21" s="395">
        <f t="shared" ref="H21" si="35">H20/$B20-1</f>
        <v>1.1379605826906598</v>
      </c>
      <c r="I21" s="396">
        <f t="shared" ref="I21" si="36">I20/$B20-1</f>
        <v>1.1379605826906598</v>
      </c>
      <c r="J21" s="395">
        <f t="shared" ref="J21" si="37">J20/$B20-1</f>
        <v>1.1379605826906598</v>
      </c>
      <c r="K21" s="396">
        <f t="shared" ref="K21" si="38">K20/$B20-1</f>
        <v>1.1379605826906598</v>
      </c>
      <c r="L21" s="602"/>
      <c r="M21" s="603"/>
      <c r="N21"/>
    </row>
    <row r="22" spans="1:15" s="387" customFormat="1" ht="8" customHeight="1" x14ac:dyDescent="0.2">
      <c r="B22" s="273"/>
      <c r="C22" s="394"/>
      <c r="E22" s="395"/>
      <c r="F22" s="395"/>
      <c r="G22" s="395"/>
      <c r="H22" s="395"/>
      <c r="I22" s="396"/>
      <c r="J22" s="395"/>
      <c r="K22" s="396"/>
      <c r="L22" s="397"/>
      <c r="M22" s="402"/>
      <c r="O22"/>
    </row>
    <row r="23" spans="1:15" s="387" customFormat="1" x14ac:dyDescent="0.2">
      <c r="A23" s="33" t="s">
        <v>2052</v>
      </c>
      <c r="B23" s="61"/>
      <c r="C23" s="546"/>
      <c r="D23" s="33"/>
      <c r="E23" s="547"/>
      <c r="F23" s="547"/>
      <c r="G23" s="547"/>
      <c r="H23" s="547"/>
      <c r="I23" s="548"/>
      <c r="J23" s="547"/>
      <c r="K23" s="548"/>
      <c r="L23" s="570" t="s">
        <v>2032</v>
      </c>
      <c r="M23" s="402"/>
      <c r="O23"/>
    </row>
    <row r="24" spans="1:15" s="387" customFormat="1" x14ac:dyDescent="0.2">
      <c r="A24" s="33" t="s">
        <v>2010</v>
      </c>
      <c r="B24" s="34">
        <f>'Ward Analysis'!Q10</f>
        <v>12500</v>
      </c>
      <c r="C24" s="549">
        <f>'Ward Analysis'!Q48</f>
        <v>3593</v>
      </c>
      <c r="D24" s="34">
        <f>'Ward Analysis'!Q47</f>
        <v>8490</v>
      </c>
      <c r="E24" s="550">
        <f>'Ward Analysis'!Q46</f>
        <v>3166</v>
      </c>
      <c r="F24" s="550">
        <f>'Ward Analysis'!Q45</f>
        <v>5930</v>
      </c>
      <c r="G24" s="550">
        <f>'Ward Analysis'!Q44</f>
        <v>1968</v>
      </c>
      <c r="H24" s="550">
        <f>'Ward Analysis'!Q43</f>
        <v>9224</v>
      </c>
      <c r="I24" s="551">
        <f>SUM(B24:H24)</f>
        <v>44871</v>
      </c>
      <c r="J24" s="550">
        <f>'Ward Analysis'!Q61</f>
        <v>7600</v>
      </c>
      <c r="K24" s="551">
        <f>SUM(I24:J24)</f>
        <v>52471</v>
      </c>
      <c r="L24" s="571">
        <f>K24/B24-1</f>
        <v>3.1976800000000001</v>
      </c>
      <c r="M24" s="402"/>
      <c r="O24"/>
    </row>
    <row r="25" spans="1:15" s="387" customFormat="1" x14ac:dyDescent="0.2">
      <c r="A25" s="33" t="s">
        <v>2011</v>
      </c>
      <c r="B25" s="34">
        <f>'Ward Analysis'!Q68</f>
        <v>13531</v>
      </c>
      <c r="C25" s="549">
        <f>'Ward Analysis'!Q104</f>
        <v>1394</v>
      </c>
      <c r="D25" s="34">
        <f>'Ward Analysis'!Q103</f>
        <v>13312</v>
      </c>
      <c r="E25" s="550">
        <f>'Ward Analysis'!Q102</f>
        <v>676</v>
      </c>
      <c r="F25" s="550">
        <f>'Ward Analysis'!Q101</f>
        <v>2436</v>
      </c>
      <c r="G25" s="550">
        <f>'Ward Analysis'!Q100</f>
        <v>672</v>
      </c>
      <c r="H25" s="550">
        <f>'Ward Analysis'!Q99</f>
        <v>14468</v>
      </c>
      <c r="I25" s="551">
        <f>SUM(B25:H25)</f>
        <v>46489</v>
      </c>
      <c r="J25" s="550">
        <f>'Ward Analysis'!Q113</f>
        <v>1400</v>
      </c>
      <c r="K25" s="551">
        <f>SUM(I25:J25)</f>
        <v>47889</v>
      </c>
      <c r="L25" s="571">
        <f t="shared" ref="L25:L27" si="39">K25/B25-1</f>
        <v>2.539206267090385</v>
      </c>
      <c r="M25" s="402"/>
      <c r="O25"/>
    </row>
    <row r="26" spans="1:15" s="387" customFormat="1" x14ac:dyDescent="0.2">
      <c r="A26" s="33" t="s">
        <v>2012</v>
      </c>
      <c r="B26" s="34">
        <f>'Ward Analysis'!Q121</f>
        <v>14220</v>
      </c>
      <c r="C26" s="549">
        <f>'Ward Analysis'!Q137</f>
        <v>274</v>
      </c>
      <c r="D26" s="34">
        <f>'Ward Analysis'!Q136</f>
        <v>346</v>
      </c>
      <c r="E26" s="550"/>
      <c r="F26" s="550">
        <f>'Ward Analysis'!Q135</f>
        <v>52</v>
      </c>
      <c r="G26" s="550"/>
      <c r="H26" s="550">
        <f>'Ward Analysis'!Q134</f>
        <v>566</v>
      </c>
      <c r="I26" s="551">
        <f>SUM(B26:H26)</f>
        <v>15458</v>
      </c>
      <c r="J26" s="550"/>
      <c r="K26" s="551">
        <f>SUM(I26:J26)</f>
        <v>15458</v>
      </c>
      <c r="L26" s="571">
        <f t="shared" si="39"/>
        <v>8.7060478199718627E-2</v>
      </c>
      <c r="M26" s="402"/>
      <c r="O26"/>
    </row>
    <row r="27" spans="1:15" s="387" customFormat="1" x14ac:dyDescent="0.2">
      <c r="A27" s="33" t="s">
        <v>2013</v>
      </c>
      <c r="B27" s="34">
        <f>'Ward Analysis'!Q144</f>
        <v>6957</v>
      </c>
      <c r="C27" s="549">
        <f>'Ward Analysis'!Q153</f>
        <v>200</v>
      </c>
      <c r="D27" s="34">
        <f>'Ward Analysis'!Q154</f>
        <v>3430</v>
      </c>
      <c r="E27" s="550"/>
      <c r="F27" s="550"/>
      <c r="G27" s="550">
        <f>'Ward Analysis'!Q155</f>
        <v>398</v>
      </c>
      <c r="H27" s="550"/>
      <c r="I27" s="551">
        <f>SUM(B27:H27)</f>
        <v>10985</v>
      </c>
      <c r="J27" s="550"/>
      <c r="K27" s="551">
        <f>SUM(I27:J27)</f>
        <v>10985</v>
      </c>
      <c r="L27" s="571">
        <f t="shared" si="39"/>
        <v>0.5789851947678597</v>
      </c>
      <c r="M27" s="402"/>
      <c r="O27"/>
    </row>
    <row r="28" spans="1:15" s="387" customFormat="1" ht="8" customHeight="1" x14ac:dyDescent="0.2">
      <c r="A28" s="33"/>
      <c r="B28" s="34"/>
      <c r="C28" s="549"/>
      <c r="D28" s="34"/>
      <c r="E28" s="550"/>
      <c r="F28" s="550"/>
      <c r="G28" s="550"/>
      <c r="H28" s="550"/>
      <c r="I28" s="551"/>
      <c r="J28" s="550"/>
      <c r="K28" s="551"/>
      <c r="L28" s="397"/>
      <c r="M28" s="402"/>
      <c r="O28"/>
    </row>
    <row r="29" spans="1:15" s="387" customFormat="1" x14ac:dyDescent="0.2">
      <c r="A29" s="31" t="s">
        <v>2024</v>
      </c>
      <c r="B29" s="568" t="s">
        <v>380</v>
      </c>
      <c r="C29" s="564" t="s">
        <v>2019</v>
      </c>
      <c r="D29" s="270" t="s">
        <v>2014</v>
      </c>
      <c r="E29" s="565" t="s">
        <v>2015</v>
      </c>
      <c r="F29" s="565" t="s">
        <v>2016</v>
      </c>
      <c r="G29" s="565" t="s">
        <v>2017</v>
      </c>
      <c r="H29" s="565" t="s">
        <v>2018</v>
      </c>
      <c r="I29" s="566" t="s">
        <v>2021</v>
      </c>
      <c r="J29" s="567">
        <v>2031</v>
      </c>
      <c r="K29" s="566" t="s">
        <v>2022</v>
      </c>
      <c r="L29" s="606" t="s">
        <v>2029</v>
      </c>
      <c r="M29" s="607"/>
      <c r="O29"/>
    </row>
    <row r="30" spans="1:15" s="387" customFormat="1" x14ac:dyDescent="0.2">
      <c r="A30" s="33" t="s">
        <v>2023</v>
      </c>
      <c r="B30" s="34">
        <f>B7</f>
        <v>47208</v>
      </c>
      <c r="C30" s="549">
        <f>SUM('Ward Analysis'!Q175:Q181)</f>
        <v>5461</v>
      </c>
      <c r="D30" s="34">
        <f>SUM('Ward Analysis'!Q182:Q183)</f>
        <v>1098</v>
      </c>
      <c r="E30" s="550">
        <f>SUM('Ward Analysis'!Q184:Q185)</f>
        <v>7888</v>
      </c>
      <c r="F30" s="550">
        <f>SUM('Ward Analysis'!Q186:Q188)</f>
        <v>12992</v>
      </c>
      <c r="G30" s="550">
        <f>SUM('Ward Analysis'!Q189:Q191)</f>
        <v>20746</v>
      </c>
      <c r="H30" s="550">
        <f>SUM('Ward Analysis'!Q192:Q195)</f>
        <v>9218</v>
      </c>
      <c r="I30" s="385">
        <f>SUM(B30:H30)</f>
        <v>104611</v>
      </c>
      <c r="J30" s="550">
        <f>'Ward Analysis'!Q196</f>
        <v>24408</v>
      </c>
      <c r="K30" s="385">
        <f>SUM(I30:J30)</f>
        <v>129019</v>
      </c>
      <c r="L30" s="608"/>
      <c r="M30" s="607"/>
      <c r="O30"/>
    </row>
    <row r="31" spans="1:15" s="387" customFormat="1" x14ac:dyDescent="0.2">
      <c r="A31" s="33"/>
      <c r="B31" s="34"/>
      <c r="C31" s="549"/>
      <c r="D31" s="34"/>
      <c r="E31" s="550"/>
      <c r="F31" s="550"/>
      <c r="G31" s="550"/>
      <c r="H31" s="550"/>
      <c r="I31" s="551"/>
      <c r="J31" s="550"/>
      <c r="K31" s="551"/>
      <c r="L31" s="575" t="s">
        <v>2051</v>
      </c>
      <c r="M31" s="576"/>
      <c r="O31"/>
    </row>
    <row r="32" spans="1:15" s="387" customFormat="1" x14ac:dyDescent="0.2">
      <c r="A32" s="32" t="s">
        <v>1522</v>
      </c>
      <c r="B32" s="273"/>
      <c r="C32" s="394"/>
      <c r="E32" s="395"/>
      <c r="F32" s="395"/>
      <c r="G32" s="395"/>
      <c r="H32" s="395"/>
      <c r="I32" s="396"/>
      <c r="J32" s="395"/>
      <c r="K32" s="396"/>
      <c r="L32" s="397"/>
      <c r="M32" s="402"/>
      <c r="O32"/>
    </row>
    <row r="33" spans="1:15" s="387" customFormat="1" x14ac:dyDescent="0.2">
      <c r="A33" s="33" t="s">
        <v>1523</v>
      </c>
      <c r="B33" s="273"/>
      <c r="C33" s="413">
        <f t="shared" ref="C33:H33" si="40">C7/1800</f>
        <v>3.0338888888888889</v>
      </c>
      <c r="D33" s="411">
        <f t="shared" si="40"/>
        <v>14.21</v>
      </c>
      <c r="E33" s="411">
        <f t="shared" si="40"/>
        <v>2.1344444444444446</v>
      </c>
      <c r="F33" s="411">
        <f t="shared" si="40"/>
        <v>4.6766666666666667</v>
      </c>
      <c r="G33" s="411">
        <f t="shared" si="40"/>
        <v>1.6877777777777778</v>
      </c>
      <c r="H33" s="411">
        <f t="shared" si="40"/>
        <v>13.476666666666667</v>
      </c>
      <c r="I33" s="412">
        <f>SUM(C33:H33)</f>
        <v>39.219444444444449</v>
      </c>
      <c r="J33" s="411">
        <f>J7/1800</f>
        <v>6.2311111111111108</v>
      </c>
      <c r="K33" s="412">
        <f>SUM(I33:J33)</f>
        <v>45.45055555555556</v>
      </c>
      <c r="L33" s="416" t="s">
        <v>2025</v>
      </c>
      <c r="M33" s="415"/>
      <c r="O33"/>
    </row>
    <row r="34" spans="1:15" s="387" customFormat="1" x14ac:dyDescent="0.2">
      <c r="A34" s="33" t="s">
        <v>1524</v>
      </c>
      <c r="B34" s="273"/>
      <c r="C34" s="413">
        <v>5</v>
      </c>
      <c r="D34" s="61">
        <v>9</v>
      </c>
      <c r="E34" s="414"/>
      <c r="F34" s="414"/>
      <c r="G34" s="411"/>
      <c r="H34" s="411"/>
      <c r="I34" s="412"/>
      <c r="J34" s="411"/>
      <c r="K34" s="412"/>
      <c r="L34" s="442" t="s">
        <v>1855</v>
      </c>
      <c r="M34" s="442"/>
      <c r="O34"/>
    </row>
    <row r="35" spans="1:15" s="387" customFormat="1" x14ac:dyDescent="0.2">
      <c r="A35" s="33" t="s">
        <v>1525</v>
      </c>
      <c r="B35" s="273"/>
      <c r="C35" s="413">
        <f t="shared" ref="C35" si="41">C34-C33</f>
        <v>1.9661111111111111</v>
      </c>
      <c r="D35" s="414">
        <f>D34-D33</f>
        <v>-5.2100000000000009</v>
      </c>
      <c r="E35" s="414">
        <f>E34-E33</f>
        <v>-2.1344444444444446</v>
      </c>
      <c r="F35" s="414">
        <f t="shared" ref="F35:H35" si="42">F34-F33</f>
        <v>-4.6766666666666667</v>
      </c>
      <c r="G35" s="414">
        <f t="shared" si="42"/>
        <v>-1.6877777777777778</v>
      </c>
      <c r="H35" s="414">
        <f t="shared" si="42"/>
        <v>-13.476666666666667</v>
      </c>
      <c r="I35" s="412">
        <f>SUM(C35:H35)</f>
        <v>-25.219444444444445</v>
      </c>
      <c r="J35" s="411">
        <f t="shared" ref="J35" si="43">J34-J33</f>
        <v>-6.2311111111111108</v>
      </c>
      <c r="K35" s="412">
        <f>SUM(I35:J35)</f>
        <v>-31.450555555555557</v>
      </c>
      <c r="L35" s="416" t="s">
        <v>2026</v>
      </c>
      <c r="M35" s="416"/>
      <c r="O35"/>
    </row>
    <row r="36" spans="1:15" s="387" customFormat="1" ht="8" customHeight="1" x14ac:dyDescent="0.2">
      <c r="A36" s="33"/>
      <c r="B36" s="273"/>
      <c r="C36" s="413"/>
      <c r="E36" s="414"/>
      <c r="F36" s="414"/>
      <c r="G36" s="411"/>
      <c r="H36" s="411"/>
      <c r="I36" s="412"/>
      <c r="J36" s="411"/>
      <c r="K36" s="412"/>
      <c r="L36" s="417"/>
      <c r="M36" s="402"/>
    </row>
    <row r="37" spans="1:15" s="387" customFormat="1" x14ac:dyDescent="0.2">
      <c r="A37" s="32" t="s">
        <v>1526</v>
      </c>
      <c r="B37" s="407"/>
      <c r="C37" s="413"/>
      <c r="E37" s="414"/>
      <c r="F37" s="414"/>
      <c r="G37" s="411"/>
      <c r="H37" s="411"/>
      <c r="I37" s="412"/>
      <c r="J37" s="411"/>
      <c r="K37" s="412"/>
      <c r="L37" s="417"/>
      <c r="M37" s="402"/>
      <c r="O37">
        <v>24000</v>
      </c>
    </row>
    <row r="38" spans="1:15" s="387" customFormat="1" x14ac:dyDescent="0.2">
      <c r="A38" s="33" t="s">
        <v>1527</v>
      </c>
      <c r="B38" s="273"/>
      <c r="C38" s="410">
        <f t="shared" ref="C38:H38" si="44">(C11/15*7)/420</f>
        <v>0.80390555555555565</v>
      </c>
      <c r="D38" s="545">
        <f t="shared" si="44"/>
        <v>3.2824555555555559</v>
      </c>
      <c r="E38" s="541">
        <f t="shared" si="44"/>
        <v>0.39777777777777779</v>
      </c>
      <c r="F38" s="541">
        <f t="shared" si="44"/>
        <v>1.3541333333333334</v>
      </c>
      <c r="G38" s="542">
        <f t="shared" si="44"/>
        <v>0.45569999999999999</v>
      </c>
      <c r="H38" s="542">
        <f t="shared" si="44"/>
        <v>3.6386999999999996</v>
      </c>
      <c r="I38" s="418">
        <f>SUM(C38:H38)</f>
        <v>9.932672222222223</v>
      </c>
      <c r="J38" s="542">
        <f>(J11/15*7)/420</f>
        <v>1.6824000000000001</v>
      </c>
      <c r="K38" s="418">
        <f>SUM(I38:J38)</f>
        <v>11.615072222222222</v>
      </c>
      <c r="L38" s="600" t="s">
        <v>2027</v>
      </c>
      <c r="M38" s="601"/>
      <c r="O38">
        <v>36000</v>
      </c>
    </row>
    <row r="39" spans="1:15" s="387" customFormat="1" x14ac:dyDescent="0.2">
      <c r="A39" s="33" t="s">
        <v>1528</v>
      </c>
      <c r="B39" s="273"/>
      <c r="C39" s="410">
        <f>280/420</f>
        <v>0.66666666666666663</v>
      </c>
      <c r="D39" s="61">
        <v>1.7</v>
      </c>
      <c r="E39" s="541"/>
      <c r="F39" s="541">
        <v>2</v>
      </c>
      <c r="G39" s="542"/>
      <c r="H39" s="542"/>
      <c r="I39" s="418">
        <f>SUM(C39:H39)</f>
        <v>4.3666666666666671</v>
      </c>
      <c r="J39" s="543"/>
      <c r="K39" s="418">
        <f t="shared" ref="K39:K40" si="45">SUM(I39:J39)</f>
        <v>4.3666666666666671</v>
      </c>
      <c r="L39" s="600"/>
      <c r="M39" s="601"/>
      <c r="O39" s="139">
        <f>O38/O37-1</f>
        <v>0.5</v>
      </c>
    </row>
    <row r="40" spans="1:15" s="387" customFormat="1" x14ac:dyDescent="0.2">
      <c r="A40" s="33" t="s">
        <v>1529</v>
      </c>
      <c r="B40" s="273"/>
      <c r="C40" s="410">
        <f>C39-C38</f>
        <v>-0.13723888888888902</v>
      </c>
      <c r="D40" s="541">
        <f>D39-D38</f>
        <v>-1.5824555555555559</v>
      </c>
      <c r="E40" s="541">
        <f>E39-E38</f>
        <v>-0.39777777777777779</v>
      </c>
      <c r="F40" s="541">
        <f t="shared" ref="F40:H40" si="46">F39-F38</f>
        <v>0.64586666666666659</v>
      </c>
      <c r="G40" s="541">
        <f t="shared" si="46"/>
        <v>-0.45569999999999999</v>
      </c>
      <c r="H40" s="541">
        <f t="shared" si="46"/>
        <v>-3.6386999999999996</v>
      </c>
      <c r="I40" s="418">
        <f>SUM(C40:H40)</f>
        <v>-5.5660055555555559</v>
      </c>
      <c r="J40" s="542">
        <f>J39-J38</f>
        <v>-1.6824000000000001</v>
      </c>
      <c r="K40" s="418">
        <f t="shared" si="45"/>
        <v>-7.2484055555555562</v>
      </c>
      <c r="L40" s="600"/>
      <c r="M40" s="601"/>
      <c r="O40"/>
    </row>
    <row r="41" spans="1:15" s="387" customFormat="1" ht="8" customHeight="1" x14ac:dyDescent="0.2">
      <c r="A41" s="33"/>
      <c r="B41" s="273"/>
      <c r="C41" s="410"/>
      <c r="D41" s="61"/>
      <c r="E41" s="544"/>
      <c r="F41" s="544"/>
      <c r="G41" s="543"/>
      <c r="H41" s="543"/>
      <c r="I41" s="412"/>
      <c r="J41" s="543"/>
      <c r="K41" s="412"/>
      <c r="L41" s="417"/>
      <c r="M41" s="402"/>
      <c r="O41"/>
    </row>
    <row r="42" spans="1:15" s="387" customFormat="1" x14ac:dyDescent="0.2">
      <c r="A42" s="33" t="s">
        <v>1530</v>
      </c>
      <c r="B42" s="273"/>
      <c r="C42" s="410">
        <f t="shared" ref="C42:H42" si="47">(C11/15*5)/1200</f>
        <v>0.20097638888888891</v>
      </c>
      <c r="D42" s="545">
        <f t="shared" si="47"/>
        <v>0.82061388888888886</v>
      </c>
      <c r="E42" s="541">
        <f t="shared" si="47"/>
        <v>9.9444444444444446E-2</v>
      </c>
      <c r="F42" s="541">
        <f t="shared" si="47"/>
        <v>0.33853333333333335</v>
      </c>
      <c r="G42" s="542">
        <f t="shared" si="47"/>
        <v>0.11392499999999998</v>
      </c>
      <c r="H42" s="542">
        <f t="shared" si="47"/>
        <v>0.90967500000000012</v>
      </c>
      <c r="I42" s="418">
        <f>SUM(C42:H42)</f>
        <v>2.4831680555555558</v>
      </c>
      <c r="J42" s="542">
        <f>(J11/15*5)/1200</f>
        <v>0.42060000000000003</v>
      </c>
      <c r="K42" s="418">
        <f>SUM(I42:J42)</f>
        <v>2.9037680555555556</v>
      </c>
      <c r="L42" s="417"/>
      <c r="M42" s="402"/>
      <c r="O42"/>
    </row>
    <row r="43" spans="1:15" s="387" customFormat="1" x14ac:dyDescent="0.2">
      <c r="A43" s="33" t="s">
        <v>1531</v>
      </c>
      <c r="B43" s="273"/>
      <c r="C43" s="413"/>
      <c r="D43" s="61"/>
      <c r="E43" s="544">
        <v>1</v>
      </c>
      <c r="F43" s="544"/>
      <c r="G43" s="543"/>
      <c r="H43" s="543"/>
      <c r="I43" s="418">
        <f t="shared" ref="I43:I44" si="48">SUM(C43:H43)</f>
        <v>1</v>
      </c>
      <c r="J43" s="543"/>
      <c r="K43" s="418">
        <f t="shared" ref="K43:K44" si="49">SUM(I43:J43)</f>
        <v>1</v>
      </c>
      <c r="L43" s="416" t="s">
        <v>2038</v>
      </c>
      <c r="M43" s="402"/>
      <c r="O43"/>
    </row>
    <row r="44" spans="1:15" s="387" customFormat="1" x14ac:dyDescent="0.2">
      <c r="A44" s="33" t="s">
        <v>1529</v>
      </c>
      <c r="B44" s="273"/>
      <c r="C44" s="410">
        <f>C43-C42</f>
        <v>-0.20097638888888891</v>
      </c>
      <c r="D44" s="541">
        <f>D43-D42</f>
        <v>-0.82061388888888886</v>
      </c>
      <c r="E44" s="541">
        <f>E43-E42</f>
        <v>0.90055555555555555</v>
      </c>
      <c r="F44" s="541">
        <f t="shared" ref="F44:H44" si="50">F43-F42</f>
        <v>-0.33853333333333335</v>
      </c>
      <c r="G44" s="541">
        <f t="shared" si="50"/>
        <v>-0.11392499999999998</v>
      </c>
      <c r="H44" s="541">
        <f t="shared" si="50"/>
        <v>-0.90967500000000012</v>
      </c>
      <c r="I44" s="418">
        <f t="shared" si="48"/>
        <v>-1.4831680555555558</v>
      </c>
      <c r="J44" s="542">
        <f>J43-J42</f>
        <v>-0.42060000000000003</v>
      </c>
      <c r="K44" s="418">
        <f t="shared" si="49"/>
        <v>-1.9037680555555558</v>
      </c>
      <c r="L44" s="417"/>
      <c r="M44" s="402"/>
      <c r="O44"/>
    </row>
    <row r="45" spans="1:15" x14ac:dyDescent="0.2">
      <c r="C45" s="419"/>
      <c r="D45" s="420"/>
      <c r="E45" s="420"/>
      <c r="F45" s="420"/>
      <c r="G45" s="420"/>
      <c r="H45" s="420"/>
      <c r="I45" s="421"/>
      <c r="J45" s="420"/>
      <c r="K45" s="421"/>
      <c r="L45" s="33"/>
    </row>
    <row r="46" spans="1:15" x14ac:dyDescent="0.2">
      <c r="A46" s="41" t="s">
        <v>1351</v>
      </c>
      <c r="C46" s="422"/>
      <c r="D46" s="422"/>
      <c r="E46" s="422"/>
      <c r="F46" s="422"/>
      <c r="G46" s="422"/>
      <c r="H46" s="422"/>
      <c r="I46" s="422"/>
      <c r="J46" s="422"/>
      <c r="K46" s="423"/>
      <c r="L46" s="31"/>
    </row>
    <row r="47" spans="1:15" x14ac:dyDescent="0.2">
      <c r="A47" t="s">
        <v>2005</v>
      </c>
    </row>
    <row r="48" spans="1:15" x14ac:dyDescent="0.2">
      <c r="A48" t="s">
        <v>2006</v>
      </c>
    </row>
    <row r="49" spans="1:13" x14ac:dyDescent="0.2">
      <c r="A49" t="s">
        <v>2007</v>
      </c>
    </row>
    <row r="50" spans="1:13" x14ac:dyDescent="0.2">
      <c r="A50" t="s">
        <v>2031</v>
      </c>
    </row>
    <row r="57" spans="1:13" ht="21" x14ac:dyDescent="0.25">
      <c r="A57" s="49" t="s">
        <v>1542</v>
      </c>
    </row>
    <row r="58" spans="1:13" ht="21" x14ac:dyDescent="0.25">
      <c r="A58" s="51" t="s">
        <v>1541</v>
      </c>
    </row>
    <row r="60" spans="1:13" x14ac:dyDescent="0.2">
      <c r="B60" s="268"/>
      <c r="C60" s="597" t="s">
        <v>1543</v>
      </c>
      <c r="D60" s="598"/>
      <c r="E60" s="598"/>
      <c r="F60" s="598"/>
      <c r="G60" s="598"/>
      <c r="H60" s="598"/>
      <c r="I60" s="598"/>
      <c r="J60" s="598"/>
      <c r="K60" s="599"/>
      <c r="L60" s="268"/>
    </row>
    <row r="61" spans="1:13" ht="49" thickBot="1" x14ac:dyDescent="0.25">
      <c r="B61" s="378" t="s">
        <v>1507</v>
      </c>
      <c r="C61" s="379" t="s">
        <v>1508</v>
      </c>
      <c r="D61" s="378" t="s">
        <v>1509</v>
      </c>
      <c r="E61" s="378"/>
      <c r="F61" s="378"/>
      <c r="G61" s="378" t="s">
        <v>1510</v>
      </c>
      <c r="H61" s="378"/>
      <c r="I61" s="378"/>
      <c r="J61" s="378" t="s">
        <v>1511</v>
      </c>
      <c r="K61" s="380" t="s">
        <v>1512</v>
      </c>
      <c r="L61" s="378" t="s">
        <v>1513</v>
      </c>
    </row>
    <row r="62" spans="1:13" x14ac:dyDescent="0.2">
      <c r="A62" t="s">
        <v>1520</v>
      </c>
      <c r="B62" s="30">
        <v>21069</v>
      </c>
      <c r="C62" s="403">
        <v>1946</v>
      </c>
      <c r="D62" s="95">
        <v>13964</v>
      </c>
      <c r="E62" s="95"/>
      <c r="F62" s="95"/>
      <c r="G62" s="95">
        <v>16440</v>
      </c>
      <c r="H62" s="95"/>
      <c r="I62" s="95"/>
      <c r="J62" s="95">
        <v>2300</v>
      </c>
      <c r="K62" s="385">
        <v>34650</v>
      </c>
      <c r="L62" s="44">
        <v>55719</v>
      </c>
    </row>
    <row r="63" spans="1:13" x14ac:dyDescent="0.2">
      <c r="A63" s="387" t="s">
        <v>1516</v>
      </c>
      <c r="B63" s="388">
        <v>21069</v>
      </c>
      <c r="C63" s="389">
        <v>23015</v>
      </c>
      <c r="D63" s="390">
        <v>36979</v>
      </c>
      <c r="E63" s="390"/>
      <c r="F63" s="390"/>
      <c r="G63" s="390">
        <v>53419</v>
      </c>
      <c r="H63" s="390"/>
      <c r="I63" s="390"/>
      <c r="J63" s="390">
        <v>55719</v>
      </c>
      <c r="K63" s="391"/>
      <c r="L63" s="392">
        <v>55719</v>
      </c>
      <c r="M63">
        <f>90-26</f>
        <v>64</v>
      </c>
    </row>
    <row r="64" spans="1:13" x14ac:dyDescent="0.2">
      <c r="A64" s="387" t="s">
        <v>1517</v>
      </c>
      <c r="B64" s="273"/>
      <c r="C64" s="394">
        <v>9.236318762162421E-2</v>
      </c>
      <c r="D64" s="395">
        <v>0.60673473821420809</v>
      </c>
      <c r="E64" s="395"/>
      <c r="F64" s="395"/>
      <c r="G64" s="395">
        <v>0.4445766516130778</v>
      </c>
      <c r="H64" s="395"/>
      <c r="I64" s="395"/>
      <c r="J64" s="395">
        <v>4.3055841554503038E-2</v>
      </c>
      <c r="K64" s="396"/>
      <c r="L64" s="397">
        <v>1.644596326356258</v>
      </c>
    </row>
    <row r="65" spans="1:12" ht="11" customHeight="1" x14ac:dyDescent="0.2">
      <c r="A65" s="387"/>
      <c r="B65" s="273"/>
      <c r="C65" s="394"/>
      <c r="D65" s="395"/>
      <c r="E65" s="395"/>
      <c r="F65" s="395"/>
      <c r="G65" s="395"/>
      <c r="H65" s="395"/>
      <c r="I65" s="395"/>
      <c r="J65" s="395"/>
      <c r="K65" s="396"/>
      <c r="L65" s="397"/>
    </row>
    <row r="66" spans="1:12" x14ac:dyDescent="0.2">
      <c r="A66" t="s">
        <v>1514</v>
      </c>
      <c r="B66" s="30">
        <v>47208</v>
      </c>
      <c r="C66" s="408">
        <v>712</v>
      </c>
      <c r="D66" s="409">
        <v>24748</v>
      </c>
      <c r="E66" s="409"/>
      <c r="F66" s="409"/>
      <c r="G66" s="409">
        <v>36060</v>
      </c>
      <c r="H66" s="409"/>
      <c r="I66" s="409"/>
      <c r="J66" s="409">
        <v>4600</v>
      </c>
      <c r="K66" s="385">
        <v>66120</v>
      </c>
      <c r="L66" s="44">
        <v>113328</v>
      </c>
    </row>
    <row r="67" spans="1:12" x14ac:dyDescent="0.2">
      <c r="A67" s="387" t="s">
        <v>1516</v>
      </c>
      <c r="B67" s="388">
        <v>47208</v>
      </c>
      <c r="C67" s="389">
        <v>47920</v>
      </c>
      <c r="D67" s="390">
        <v>72668</v>
      </c>
      <c r="E67" s="390"/>
      <c r="F67" s="390"/>
      <c r="G67" s="390">
        <v>108728</v>
      </c>
      <c r="H67" s="390"/>
      <c r="I67" s="390"/>
      <c r="J67" s="390">
        <v>113328</v>
      </c>
      <c r="K67" s="391"/>
      <c r="L67" s="392">
        <v>113328</v>
      </c>
    </row>
    <row r="68" spans="1:12" x14ac:dyDescent="0.2">
      <c r="A68" s="387" t="s">
        <v>1517</v>
      </c>
      <c r="B68" s="273"/>
      <c r="C68" s="394">
        <v>1.5082189459413753E-2</v>
      </c>
      <c r="D68" s="395">
        <v>0.5164440734557596</v>
      </c>
      <c r="E68" s="395"/>
      <c r="F68" s="395"/>
      <c r="G68" s="395">
        <v>0.49622942698299122</v>
      </c>
      <c r="H68" s="395"/>
      <c r="I68" s="395"/>
      <c r="J68" s="395">
        <v>4.2307409314987776E-2</v>
      </c>
      <c r="K68" s="396"/>
      <c r="L68" s="397">
        <v>1.400610066090493</v>
      </c>
    </row>
    <row r="69" spans="1:12" ht="11" customHeight="1" x14ac:dyDescent="0.2">
      <c r="B69" s="268"/>
      <c r="C69" s="382"/>
      <c r="D69" s="383"/>
      <c r="E69" s="383"/>
      <c r="F69" s="383"/>
      <c r="G69" s="383"/>
      <c r="H69" s="383"/>
      <c r="I69" s="383"/>
      <c r="J69" s="383"/>
      <c r="K69" s="384"/>
      <c r="L69" s="268"/>
    </row>
    <row r="70" spans="1:12" x14ac:dyDescent="0.2">
      <c r="A70" t="s">
        <v>1518</v>
      </c>
      <c r="B70" s="269">
        <v>8315</v>
      </c>
      <c r="C70" s="115">
        <v>96.12</v>
      </c>
      <c r="D70" s="95">
        <v>3770.2799999999997</v>
      </c>
      <c r="E70" s="95"/>
      <c r="F70" s="95"/>
      <c r="G70" s="95">
        <v>4438.8000000000011</v>
      </c>
      <c r="H70" s="95"/>
      <c r="I70" s="95"/>
      <c r="J70" s="95">
        <v>621</v>
      </c>
      <c r="K70" s="385">
        <v>8926.2000000000007</v>
      </c>
      <c r="L70" s="386">
        <v>17241.200000000004</v>
      </c>
    </row>
    <row r="71" spans="1:12" x14ac:dyDescent="0.2">
      <c r="A71" s="387" t="s">
        <v>1516</v>
      </c>
      <c r="B71" s="388">
        <v>8315</v>
      </c>
      <c r="C71" s="389">
        <v>8411.1200000000008</v>
      </c>
      <c r="D71" s="390">
        <v>12181.400000000001</v>
      </c>
      <c r="E71" s="390"/>
      <c r="F71" s="390"/>
      <c r="G71" s="390">
        <v>16620.200000000004</v>
      </c>
      <c r="H71" s="390"/>
      <c r="I71" s="390"/>
      <c r="J71" s="390">
        <v>17241.200000000004</v>
      </c>
      <c r="K71" s="391"/>
      <c r="L71" s="392">
        <v>17241.200000000004</v>
      </c>
    </row>
    <row r="72" spans="1:12" x14ac:dyDescent="0.2">
      <c r="A72" s="387" t="s">
        <v>1517</v>
      </c>
      <c r="B72" s="393"/>
      <c r="C72" s="394">
        <v>1.1559831629585293E-2</v>
      </c>
      <c r="D72" s="395">
        <v>0.44824946023835111</v>
      </c>
      <c r="E72" s="395"/>
      <c r="F72" s="395"/>
      <c r="G72" s="395">
        <v>0.36439161344344684</v>
      </c>
      <c r="H72" s="395"/>
      <c r="I72" s="395"/>
      <c r="J72" s="395">
        <v>3.7364171309611116E-2</v>
      </c>
      <c r="K72" s="396"/>
      <c r="L72" s="397">
        <v>1.0735057125676493</v>
      </c>
    </row>
    <row r="73" spans="1:12" ht="10" customHeight="1" x14ac:dyDescent="0.2">
      <c r="A73" s="387"/>
      <c r="B73" s="393"/>
      <c r="C73" s="398"/>
      <c r="D73" s="399"/>
      <c r="E73" s="399"/>
      <c r="F73" s="399"/>
      <c r="G73" s="399"/>
      <c r="H73" s="399"/>
      <c r="I73" s="399"/>
      <c r="J73" s="399"/>
      <c r="K73" s="400"/>
      <c r="L73" s="401"/>
    </row>
    <row r="77" spans="1:12" x14ac:dyDescent="0.2">
      <c r="A77" s="387"/>
      <c r="B77" s="273"/>
      <c r="C77" s="404"/>
      <c r="D77" s="405"/>
      <c r="E77" s="405"/>
      <c r="F77" s="405"/>
      <c r="G77" s="405"/>
      <c r="H77" s="405"/>
      <c r="I77" s="405"/>
      <c r="J77" s="405"/>
      <c r="K77" s="406"/>
      <c r="L77" s="407"/>
    </row>
    <row r="138" spans="6:6" ht="17" thickBot="1" x14ac:dyDescent="0.25"/>
    <row r="139" spans="6:6" ht="17" thickBot="1" x14ac:dyDescent="0.25">
      <c r="F139" s="577">
        <v>23800</v>
      </c>
    </row>
    <row r="140" spans="6:6" ht="17" thickBot="1" x14ac:dyDescent="0.25">
      <c r="F140" s="578">
        <v>12800</v>
      </c>
    </row>
    <row r="141" spans="6:6" ht="17" thickBot="1" x14ac:dyDescent="0.25">
      <c r="F141" s="578">
        <v>1900</v>
      </c>
    </row>
    <row r="142" spans="6:6" ht="17" thickBot="1" x14ac:dyDescent="0.25">
      <c r="F142" s="578">
        <v>4200</v>
      </c>
    </row>
    <row r="143" spans="6:6" ht="17" thickBot="1" x14ac:dyDescent="0.25">
      <c r="F143" s="578">
        <v>1500</v>
      </c>
    </row>
    <row r="144" spans="6:6" ht="17" thickBot="1" x14ac:dyDescent="0.25">
      <c r="F144" s="578">
        <v>11500</v>
      </c>
    </row>
    <row r="145" spans="6:7" x14ac:dyDescent="0.2">
      <c r="F145" s="579">
        <v>5600</v>
      </c>
      <c r="G145" s="60">
        <f>SUM(F140:F145)</f>
        <v>37500</v>
      </c>
    </row>
    <row r="146" spans="6:7" x14ac:dyDescent="0.2">
      <c r="F146" s="60">
        <f>SUM(F139:F145)</f>
        <v>61300</v>
      </c>
    </row>
  </sheetData>
  <mergeCells count="8">
    <mergeCell ref="C60:K60"/>
    <mergeCell ref="L38:M40"/>
    <mergeCell ref="C4:K4"/>
    <mergeCell ref="L7:M9"/>
    <mergeCell ref="L11:M13"/>
    <mergeCell ref="L15:M17"/>
    <mergeCell ref="L19:M21"/>
    <mergeCell ref="L29:M30"/>
  </mergeCells>
  <phoneticPr fontId="10" type="noConversion"/>
  <pageMargins left="0.1631496062992126" right="0.1631496062992126" top="0.41314960629921266" bottom="0.8" header="0.5" footer="0.10629921259842522"/>
  <pageSetup paperSize="9" scale="64" orientation="landscape" horizontalDpi="4294967292" verticalDpi="4294967292" copies="2"/>
  <headerFooter>
    <oddFooter>&amp;L&amp;"Calibri,Regular"&amp;K000000Author: Andrew Wood_x000D_Email: isleofdogsnpf@gmail.com_x000D_Tel: 07710 486 873&amp;C&amp;"Calibri,Regular"&amp;K000000&amp;A&amp;R&amp;"Calibri,Regular"&amp;K000000&amp;F_x000D_&amp;D</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CP281"/>
  <sheetViews>
    <sheetView showGridLines="0" tabSelected="1" workbookViewId="0">
      <pane xSplit="3" ySplit="8" topLeftCell="H21" activePane="bottomRight" state="frozenSplit"/>
      <selection activeCell="D48" sqref="C1:K48"/>
      <selection pane="topRight" activeCell="D48" sqref="C1:K48"/>
      <selection pane="bottomLeft" activeCell="D48" sqref="C1:K48"/>
      <selection pane="bottomRight" activeCell="C83" sqref="C35:C83"/>
    </sheetView>
  </sheetViews>
  <sheetFormatPr baseColWidth="10" defaultRowHeight="16" outlineLevelRow="1" outlineLevelCol="1" x14ac:dyDescent="0.2"/>
  <cols>
    <col min="1" max="2" width="2.83203125" customWidth="1"/>
    <col min="3" max="3" width="46.6640625" customWidth="1"/>
    <col min="4" max="4" width="33.5" customWidth="1"/>
    <col min="5" max="5" width="15.5" customWidth="1"/>
    <col min="6" max="6" width="17.5" bestFit="1" customWidth="1"/>
    <col min="7" max="7" width="15.33203125" style="43" customWidth="1"/>
    <col min="8" max="8" width="10.83203125" style="47" customWidth="1"/>
    <col min="9" max="9" width="12.5" style="43" customWidth="1"/>
    <col min="10" max="10" width="7" customWidth="1"/>
    <col min="11" max="11" width="6.5" customWidth="1"/>
    <col min="12" max="12" width="10.6640625" style="43" customWidth="1"/>
    <col min="13" max="14" width="9.83203125" customWidth="1"/>
    <col min="15" max="17" width="10.83203125" style="43" customWidth="1"/>
    <col min="18" max="18" width="9.5" customWidth="1" outlineLevel="1"/>
    <col min="19" max="19" width="10.83203125" style="43" customWidth="1" outlineLevel="1"/>
    <col min="20" max="20" width="9.5" style="43" customWidth="1" outlineLevel="1"/>
    <col min="21" max="21" width="3.33203125" customWidth="1"/>
    <col min="22" max="22" width="9.5" customWidth="1"/>
    <col min="23" max="23" width="10.1640625" style="139" customWidth="1"/>
    <col min="24" max="24" width="2.83203125" customWidth="1"/>
    <col min="25" max="25" width="18.5" customWidth="1"/>
    <col min="28" max="28" width="17.5" customWidth="1"/>
    <col min="29" max="29" width="29.83203125" customWidth="1"/>
    <col min="30" max="30" width="25.6640625" style="43" customWidth="1"/>
    <col min="31" max="31" width="39.33203125" style="268" customWidth="1"/>
    <col min="32" max="33" width="29.83203125" style="43" customWidth="1"/>
    <col min="34" max="34" width="17.5" style="364" customWidth="1"/>
    <col min="35" max="35" width="10.83203125" style="364"/>
    <col min="36" max="37" width="10.83203125" style="43"/>
    <col min="38" max="38" width="17.1640625" style="43" customWidth="1"/>
    <col min="39" max="39" width="15.83203125" style="43" customWidth="1"/>
    <col min="40" max="40" width="10.83203125" style="43"/>
    <col min="41" max="42" width="10.83203125" style="30"/>
    <col min="43" max="63" width="10.83203125" style="43"/>
    <col min="64" max="64" width="11.83203125" style="43" customWidth="1"/>
    <col min="65" max="65" width="12" style="43" customWidth="1"/>
    <col min="66" max="66" width="12.1640625" style="43" customWidth="1"/>
    <col min="67" max="67" width="13" style="43" customWidth="1"/>
    <col min="68" max="68" width="12.6640625" style="43" customWidth="1"/>
    <col min="69" max="69" width="12.5" style="43" customWidth="1"/>
    <col min="70" max="70" width="12.6640625" style="43" customWidth="1"/>
    <col min="71" max="84" width="10.83203125" style="30"/>
    <col min="85" max="86" width="10.83203125" style="43"/>
    <col min="87" max="87" width="14.1640625" style="372" customWidth="1"/>
    <col min="88" max="88" width="12.6640625" style="372" customWidth="1"/>
    <col min="89" max="94" width="10.83203125" style="43"/>
  </cols>
  <sheetData>
    <row r="1" spans="1:94" ht="24" x14ac:dyDescent="0.3">
      <c r="A1" s="119" t="s">
        <v>1961</v>
      </c>
      <c r="V1" t="s">
        <v>1121</v>
      </c>
    </row>
    <row r="2" spans="1:94" x14ac:dyDescent="0.2">
      <c r="A2" s="33" t="s">
        <v>1971</v>
      </c>
    </row>
    <row r="3" spans="1:94" ht="21" x14ac:dyDescent="0.25">
      <c r="A3" s="49"/>
      <c r="B3" s="32" t="s">
        <v>283</v>
      </c>
      <c r="O3" s="30"/>
    </row>
    <row r="4" spans="1:94" ht="21" x14ac:dyDescent="0.25">
      <c r="A4" s="49"/>
      <c r="C4" s="78" t="s">
        <v>251</v>
      </c>
      <c r="D4" s="78"/>
      <c r="E4" s="78"/>
      <c r="F4" s="78"/>
      <c r="G4" s="241"/>
      <c r="H4" s="507"/>
      <c r="I4" s="241"/>
      <c r="J4" s="78"/>
      <c r="K4" s="78"/>
      <c r="L4" s="241"/>
      <c r="M4" s="77">
        <v>2</v>
      </c>
      <c r="N4" s="77"/>
      <c r="O4" s="65" t="s">
        <v>1334</v>
      </c>
      <c r="P4" s="65"/>
    </row>
    <row r="5" spans="1:94" ht="21" x14ac:dyDescent="0.25">
      <c r="A5" s="49"/>
      <c r="C5" s="78" t="s">
        <v>252</v>
      </c>
      <c r="D5" s="78"/>
      <c r="E5" s="78"/>
      <c r="F5" s="78"/>
      <c r="G5" s="241"/>
      <c r="H5" s="507"/>
      <c r="I5" s="241"/>
      <c r="J5" s="78"/>
      <c r="K5" s="78"/>
      <c r="L5" s="241"/>
      <c r="M5" s="77">
        <v>0.27</v>
      </c>
      <c r="N5" s="77"/>
      <c r="O5" s="65" t="s">
        <v>1346</v>
      </c>
      <c r="P5" s="65"/>
    </row>
    <row r="6" spans="1:94" ht="21" x14ac:dyDescent="0.25">
      <c r="A6" s="49"/>
      <c r="C6" s="182"/>
      <c r="D6" s="78"/>
      <c r="E6" s="78"/>
      <c r="F6" s="78"/>
      <c r="G6" s="241"/>
      <c r="H6" s="507"/>
      <c r="I6" s="241"/>
      <c r="J6" s="78"/>
      <c r="K6" s="78"/>
      <c r="L6" s="241"/>
      <c r="M6" s="174"/>
      <c r="N6" s="174"/>
      <c r="O6" s="65" t="s">
        <v>1302</v>
      </c>
      <c r="P6" s="65"/>
    </row>
    <row r="7" spans="1:94" ht="49" x14ac:dyDescent="0.25">
      <c r="A7" s="49" t="s">
        <v>186</v>
      </c>
      <c r="AX7" s="441" t="s">
        <v>1444</v>
      </c>
      <c r="AY7" s="441" t="s">
        <v>1444</v>
      </c>
      <c r="AZ7" s="441" t="s">
        <v>1444</v>
      </c>
      <c r="BA7" s="441" t="s">
        <v>1444</v>
      </c>
      <c r="BB7" s="441" t="s">
        <v>1444</v>
      </c>
      <c r="BC7" s="441" t="s">
        <v>1444</v>
      </c>
      <c r="BD7" s="441" t="s">
        <v>1444</v>
      </c>
      <c r="BE7" s="363" t="s">
        <v>1443</v>
      </c>
      <c r="BF7" s="363" t="s">
        <v>1443</v>
      </c>
      <c r="BG7" s="363" t="s">
        <v>1443</v>
      </c>
      <c r="BH7" s="363" t="s">
        <v>1443</v>
      </c>
      <c r="BI7" s="363" t="s">
        <v>1443</v>
      </c>
      <c r="BJ7" s="363" t="s">
        <v>1443</v>
      </c>
      <c r="BK7" s="363" t="s">
        <v>1443</v>
      </c>
      <c r="BL7" s="363" t="s">
        <v>1442</v>
      </c>
      <c r="BM7" s="363" t="s">
        <v>1442</v>
      </c>
      <c r="BN7" s="363" t="s">
        <v>1442</v>
      </c>
      <c r="BO7" s="363" t="s">
        <v>1442</v>
      </c>
      <c r="BP7" s="363" t="s">
        <v>1442</v>
      </c>
      <c r="BQ7" s="363" t="s">
        <v>1442</v>
      </c>
      <c r="BR7" s="363" t="s">
        <v>1442</v>
      </c>
    </row>
    <row r="8" spans="1:94" ht="70" customHeight="1" thickBot="1" x14ac:dyDescent="0.3">
      <c r="A8" s="51"/>
      <c r="B8" s="41"/>
      <c r="D8" s="505" t="s">
        <v>31</v>
      </c>
      <c r="E8" s="38" t="s">
        <v>1944</v>
      </c>
      <c r="F8" s="38" t="s">
        <v>431</v>
      </c>
      <c r="G8" s="38" t="s">
        <v>1949</v>
      </c>
      <c r="H8" s="499" t="s">
        <v>1950</v>
      </c>
      <c r="I8" s="38" t="s">
        <v>1916</v>
      </c>
      <c r="J8" s="38" t="s">
        <v>1342</v>
      </c>
      <c r="K8" s="38" t="s">
        <v>1951</v>
      </c>
      <c r="L8" s="38" t="s">
        <v>430</v>
      </c>
      <c r="M8" s="38" t="s">
        <v>208</v>
      </c>
      <c r="N8" s="38" t="s">
        <v>510</v>
      </c>
      <c r="O8" s="38" t="s">
        <v>211</v>
      </c>
      <c r="P8" s="38" t="s">
        <v>1300</v>
      </c>
      <c r="Q8" s="38" t="s">
        <v>212</v>
      </c>
      <c r="S8" s="38" t="s">
        <v>201</v>
      </c>
      <c r="T8" s="38" t="s">
        <v>193</v>
      </c>
      <c r="V8" s="38" t="s">
        <v>249</v>
      </c>
      <c r="W8" s="499" t="s">
        <v>250</v>
      </c>
      <c r="Y8" s="38" t="s">
        <v>512</v>
      </c>
      <c r="AB8" s="38" t="s">
        <v>1952</v>
      </c>
      <c r="AC8" s="38" t="s">
        <v>2061</v>
      </c>
      <c r="AD8" s="348" t="s">
        <v>1489</v>
      </c>
      <c r="AE8" s="348" t="s">
        <v>1488</v>
      </c>
      <c r="AF8" s="348" t="s">
        <v>1487</v>
      </c>
      <c r="AG8" s="348" t="s">
        <v>188</v>
      </c>
      <c r="AH8" s="365" t="s">
        <v>1486</v>
      </c>
      <c r="AI8" s="365" t="s">
        <v>1485</v>
      </c>
      <c r="AJ8" s="348" t="s">
        <v>1484</v>
      </c>
      <c r="AK8" s="348" t="s">
        <v>1483</v>
      </c>
      <c r="AL8" s="348" t="s">
        <v>1553</v>
      </c>
      <c r="AM8" s="348" t="s">
        <v>1554</v>
      </c>
      <c r="AN8" s="348" t="s">
        <v>1408</v>
      </c>
      <c r="AO8" s="370" t="s">
        <v>1482</v>
      </c>
      <c r="AP8" s="370" t="s">
        <v>1481</v>
      </c>
      <c r="AQ8" s="348" t="s">
        <v>1256</v>
      </c>
      <c r="AR8" s="348" t="s">
        <v>1480</v>
      </c>
      <c r="AS8" s="348" t="s">
        <v>1479</v>
      </c>
      <c r="AT8" s="348" t="s">
        <v>1478</v>
      </c>
      <c r="AU8" s="348" t="s">
        <v>1477</v>
      </c>
      <c r="AV8" s="348" t="s">
        <v>1476</v>
      </c>
      <c r="AW8" s="348" t="s">
        <v>1497</v>
      </c>
      <c r="AX8" s="348" t="s">
        <v>1474</v>
      </c>
      <c r="AY8" s="348" t="s">
        <v>1473</v>
      </c>
      <c r="AZ8" s="348" t="s">
        <v>1472</v>
      </c>
      <c r="BA8" s="348" t="s">
        <v>1471</v>
      </c>
      <c r="BB8" s="348" t="s">
        <v>1470</v>
      </c>
      <c r="BC8" s="348" t="s">
        <v>1469</v>
      </c>
      <c r="BD8" s="348" t="s">
        <v>238</v>
      </c>
      <c r="BE8" s="348" t="s">
        <v>1474</v>
      </c>
      <c r="BF8" s="348" t="s">
        <v>1473</v>
      </c>
      <c r="BG8" s="348" t="s">
        <v>1472</v>
      </c>
      <c r="BH8" s="348" t="s">
        <v>1471</v>
      </c>
      <c r="BI8" s="348" t="s">
        <v>1470</v>
      </c>
      <c r="BJ8" s="348" t="s">
        <v>1469</v>
      </c>
      <c r="BK8" s="348" t="s">
        <v>238</v>
      </c>
      <c r="BL8" s="348" t="s">
        <v>1474</v>
      </c>
      <c r="BM8" s="348" t="s">
        <v>1473</v>
      </c>
      <c r="BN8" s="348" t="s">
        <v>1472</v>
      </c>
      <c r="BO8" s="348" t="s">
        <v>1471</v>
      </c>
      <c r="BP8" s="348" t="s">
        <v>1470</v>
      </c>
      <c r="BQ8" s="348" t="s">
        <v>1469</v>
      </c>
      <c r="BR8" s="348" t="s">
        <v>238</v>
      </c>
      <c r="BS8" s="370" t="s">
        <v>1468</v>
      </c>
      <c r="BT8" s="370" t="s">
        <v>1555</v>
      </c>
      <c r="BU8" s="370" t="s">
        <v>1556</v>
      </c>
      <c r="BV8" s="370" t="s">
        <v>1557</v>
      </c>
      <c r="BW8" s="370" t="s">
        <v>1558</v>
      </c>
      <c r="BX8" s="370" t="s">
        <v>1559</v>
      </c>
      <c r="BY8" s="370" t="s">
        <v>1560</v>
      </c>
      <c r="BZ8" s="370" t="s">
        <v>1561</v>
      </c>
      <c r="CA8" s="370" t="s">
        <v>1562</v>
      </c>
      <c r="CB8" s="370" t="s">
        <v>1563</v>
      </c>
      <c r="CC8" s="370" t="s">
        <v>1564</v>
      </c>
      <c r="CD8" s="370" t="s">
        <v>1565</v>
      </c>
      <c r="CE8" s="370" t="s">
        <v>1467</v>
      </c>
      <c r="CF8" s="370" t="s">
        <v>1466</v>
      </c>
      <c r="CG8" s="348" t="s">
        <v>1465</v>
      </c>
      <c r="CH8" s="348" t="s">
        <v>1464</v>
      </c>
      <c r="CI8" s="373" t="s">
        <v>1498</v>
      </c>
      <c r="CJ8" s="373" t="s">
        <v>1462</v>
      </c>
      <c r="CK8" s="377" t="s">
        <v>512</v>
      </c>
      <c r="CL8" s="377" t="s">
        <v>578</v>
      </c>
      <c r="CM8" s="377" t="s">
        <v>1461</v>
      </c>
      <c r="CN8" s="348" t="s">
        <v>1460</v>
      </c>
      <c r="CO8" s="377" t="s">
        <v>1499</v>
      </c>
      <c r="CP8" s="377" t="s">
        <v>1458</v>
      </c>
    </row>
    <row r="9" spans="1:94" s="39" customFormat="1" ht="6" customHeight="1" x14ac:dyDescent="0.25">
      <c r="A9" s="52"/>
      <c r="B9" s="42"/>
      <c r="G9" s="242"/>
      <c r="H9" s="508"/>
      <c r="I9" s="242"/>
      <c r="L9" s="242"/>
      <c r="O9" s="40"/>
      <c r="P9" s="40"/>
      <c r="Q9" s="40"/>
      <c r="R9"/>
      <c r="S9" s="40"/>
      <c r="T9" s="40"/>
      <c r="W9" s="500"/>
      <c r="AD9" s="242"/>
      <c r="AE9" s="361"/>
      <c r="AF9" s="242"/>
      <c r="AG9" s="242"/>
      <c r="AH9" s="366"/>
      <c r="AI9" s="366"/>
      <c r="AJ9" s="242"/>
      <c r="AK9" s="242"/>
      <c r="AL9" s="242"/>
      <c r="AM9" s="242"/>
      <c r="AN9" s="242"/>
      <c r="AO9" s="371"/>
      <c r="AP9" s="371"/>
      <c r="AQ9" s="242"/>
      <c r="AR9" s="242"/>
      <c r="AS9" s="242"/>
      <c r="AT9" s="242"/>
      <c r="AU9" s="242"/>
      <c r="AV9" s="242"/>
      <c r="AW9" s="242"/>
      <c r="AX9" s="242"/>
      <c r="AY9" s="242"/>
      <c r="AZ9" s="242"/>
      <c r="BA9" s="242"/>
      <c r="BB9" s="242"/>
      <c r="BC9" s="242"/>
      <c r="BD9" s="43"/>
      <c r="BE9" s="242"/>
      <c r="BF9" s="242"/>
      <c r="BG9" s="242"/>
      <c r="BH9" s="242"/>
      <c r="BI9" s="242"/>
      <c r="BJ9" s="242"/>
      <c r="BK9" s="242"/>
      <c r="BL9" s="242"/>
      <c r="BM9" s="242"/>
      <c r="BN9" s="242"/>
      <c r="BO9" s="242"/>
      <c r="BP9" s="242"/>
      <c r="BQ9" s="242"/>
      <c r="BR9" s="242"/>
      <c r="BS9" s="371"/>
      <c r="BT9" s="371"/>
      <c r="BU9" s="371"/>
      <c r="BV9" s="371"/>
      <c r="BW9" s="371"/>
      <c r="BX9" s="371"/>
      <c r="BY9" s="371"/>
      <c r="BZ9" s="371"/>
      <c r="CA9" s="371"/>
      <c r="CB9" s="371"/>
      <c r="CC9" s="371"/>
      <c r="CD9" s="371"/>
      <c r="CE9" s="371"/>
      <c r="CF9" s="371"/>
      <c r="CG9" s="242"/>
      <c r="CH9" s="242"/>
      <c r="CI9" s="374"/>
      <c r="CJ9" s="374"/>
      <c r="CK9" s="242"/>
      <c r="CL9" s="242"/>
      <c r="CM9" s="242"/>
      <c r="CN9" s="242"/>
      <c r="CO9" s="242"/>
      <c r="CP9" s="242"/>
    </row>
    <row r="10" spans="1:94" s="56" customFormat="1" ht="29" customHeight="1" outlineLevel="1" x14ac:dyDescent="0.2">
      <c r="A10" s="54"/>
      <c r="B10" s="120" t="s">
        <v>204</v>
      </c>
      <c r="G10" s="57"/>
      <c r="H10" s="276"/>
      <c r="I10" s="57"/>
      <c r="L10" s="57"/>
      <c r="N10" s="191"/>
      <c r="O10" s="121">
        <v>6166</v>
      </c>
      <c r="P10" s="121">
        <v>1167</v>
      </c>
      <c r="Q10" s="121">
        <v>12500</v>
      </c>
      <c r="R10" s="122">
        <f>Q10/O10</f>
        <v>2.0272461887771649</v>
      </c>
      <c r="S10" s="609" t="s">
        <v>284</v>
      </c>
      <c r="T10" s="609"/>
      <c r="U10" s="609"/>
      <c r="V10" s="275">
        <v>1971</v>
      </c>
      <c r="W10" s="245">
        <f>V10/O10</f>
        <v>0.31965617904638338</v>
      </c>
      <c r="AD10" s="57"/>
      <c r="AE10" s="362"/>
      <c r="AF10" s="57"/>
      <c r="AG10" s="57"/>
      <c r="AH10" s="367"/>
      <c r="AI10" s="367"/>
      <c r="AJ10" s="57"/>
      <c r="AK10" s="57"/>
      <c r="AL10" s="57"/>
      <c r="AM10" s="57"/>
      <c r="AN10" s="57"/>
      <c r="AO10" s="275"/>
      <c r="AP10" s="275"/>
      <c r="AQ10" s="57"/>
      <c r="AR10" s="57"/>
      <c r="AS10" s="57"/>
      <c r="AT10" s="57"/>
      <c r="AU10" s="57"/>
      <c r="AV10" s="57"/>
      <c r="AW10" s="57"/>
      <c r="AX10" s="57"/>
      <c r="AY10" s="57"/>
      <c r="AZ10" s="57"/>
      <c r="BA10" s="57"/>
      <c r="BB10" s="57"/>
      <c r="BC10" s="57"/>
      <c r="BD10" s="43"/>
      <c r="BE10" s="57"/>
      <c r="BF10" s="57"/>
      <c r="BG10" s="57"/>
      <c r="BH10" s="57"/>
      <c r="BI10" s="57"/>
      <c r="BJ10" s="57"/>
      <c r="BK10" s="57"/>
      <c r="BL10" s="57"/>
      <c r="BM10" s="57"/>
      <c r="BN10" s="57"/>
      <c r="BO10" s="57"/>
      <c r="BP10" s="57"/>
      <c r="BQ10" s="57"/>
      <c r="BR10" s="57"/>
      <c r="BS10" s="275"/>
      <c r="BT10" s="275"/>
      <c r="BU10" s="275"/>
      <c r="BV10" s="275"/>
      <c r="BW10" s="275"/>
      <c r="BX10" s="275"/>
      <c r="BY10" s="275"/>
      <c r="BZ10" s="275"/>
      <c r="CA10" s="275"/>
      <c r="CB10" s="275"/>
      <c r="CC10" s="275"/>
      <c r="CD10" s="275"/>
      <c r="CE10" s="275"/>
      <c r="CF10" s="275"/>
      <c r="CG10" s="57"/>
      <c r="CH10" s="57"/>
      <c r="CI10" s="375"/>
      <c r="CJ10" s="375"/>
      <c r="CK10" s="57"/>
      <c r="CL10" s="57"/>
      <c r="CM10" s="57"/>
      <c r="CN10" s="57"/>
      <c r="CO10" s="57"/>
      <c r="CP10" s="57"/>
    </row>
    <row r="11" spans="1:94" ht="6" customHeight="1" outlineLevel="1" x14ac:dyDescent="0.25">
      <c r="A11" s="51"/>
      <c r="B11" s="41"/>
      <c r="N11" s="60"/>
      <c r="O11" s="30"/>
      <c r="P11" s="30"/>
      <c r="Q11" s="30"/>
      <c r="S11" s="127"/>
      <c r="T11" s="127"/>
      <c r="V11" s="30"/>
      <c r="X11" s="39"/>
      <c r="Y11" s="39"/>
      <c r="Z11" s="39"/>
      <c r="AA11" s="39"/>
      <c r="AB11" s="39"/>
      <c r="AD11" s="242"/>
      <c r="AE11" s="361"/>
    </row>
    <row r="12" spans="1:94" ht="21" outlineLevel="1" x14ac:dyDescent="0.25">
      <c r="A12" s="51"/>
      <c r="B12" s="32" t="s">
        <v>1981</v>
      </c>
      <c r="N12" s="60"/>
      <c r="O12" s="30"/>
      <c r="P12" s="30"/>
      <c r="Q12" s="30"/>
      <c r="V12" s="30"/>
      <c r="X12" s="56"/>
      <c r="Y12" s="56"/>
      <c r="Z12" s="56"/>
      <c r="AA12" s="56"/>
      <c r="AB12" s="56"/>
      <c r="AD12" s="57"/>
      <c r="AE12" s="362"/>
    </row>
    <row r="13" spans="1:94" ht="21" outlineLevel="1" x14ac:dyDescent="0.25">
      <c r="A13" s="51"/>
      <c r="B13" s="32"/>
      <c r="C13" t="s">
        <v>469</v>
      </c>
      <c r="D13" t="s">
        <v>471</v>
      </c>
      <c r="E13" t="s">
        <v>196</v>
      </c>
      <c r="F13" s="126" t="s">
        <v>387</v>
      </c>
      <c r="G13" s="552">
        <v>2011</v>
      </c>
      <c r="H13" s="47">
        <v>1</v>
      </c>
      <c r="J13" t="s">
        <v>1119</v>
      </c>
      <c r="L13" s="43" t="s">
        <v>574</v>
      </c>
      <c r="M13" s="43">
        <v>48</v>
      </c>
      <c r="N13" s="30"/>
      <c r="O13" s="540">
        <f>(430+356)*0.5</f>
        <v>393</v>
      </c>
      <c r="P13" s="30"/>
      <c r="Q13" s="529">
        <f>O13*$M$4</f>
        <v>786</v>
      </c>
      <c r="S13" s="30"/>
      <c r="T13" s="47"/>
      <c r="V13" s="34"/>
      <c r="X13" s="56"/>
      <c r="Y13" s="56" t="s">
        <v>518</v>
      </c>
      <c r="Z13" s="56"/>
      <c r="AA13" s="56"/>
      <c r="AB13" s="56" t="s">
        <v>1119</v>
      </c>
      <c r="AD13" s="57"/>
      <c r="AE13" s="362"/>
    </row>
    <row r="14" spans="1:94" ht="21" outlineLevel="1" x14ac:dyDescent="0.25">
      <c r="A14" s="51"/>
      <c r="B14" s="32"/>
      <c r="C14" t="s">
        <v>1979</v>
      </c>
      <c r="D14" t="s">
        <v>471</v>
      </c>
      <c r="E14" s="65" t="s">
        <v>196</v>
      </c>
      <c r="F14" s="126" t="s">
        <v>387</v>
      </c>
      <c r="G14" s="552">
        <v>2011</v>
      </c>
      <c r="H14" s="47">
        <v>1</v>
      </c>
      <c r="J14" t="s">
        <v>1119</v>
      </c>
      <c r="L14" s="43" t="s">
        <v>1980</v>
      </c>
      <c r="M14" s="43">
        <v>23</v>
      </c>
      <c r="N14" s="30"/>
      <c r="O14" s="540">
        <f>199*0.5</f>
        <v>99.5</v>
      </c>
      <c r="P14" s="30"/>
      <c r="Q14" s="529">
        <f>O14*$M$4</f>
        <v>199</v>
      </c>
      <c r="S14" s="30"/>
      <c r="T14" s="47"/>
      <c r="V14" s="424">
        <f>(O14+O13)*$M$5</f>
        <v>132.97500000000002</v>
      </c>
      <c r="W14" s="139">
        <f t="shared" ref="W14:W17" si="0">V14/O14</f>
        <v>1.3364321608040204</v>
      </c>
      <c r="X14" s="56"/>
      <c r="Y14" s="56" t="s">
        <v>518</v>
      </c>
      <c r="Z14" s="56"/>
      <c r="AA14" s="56"/>
      <c r="AB14" s="56" t="s">
        <v>1119</v>
      </c>
      <c r="AD14" s="57"/>
      <c r="AE14" s="362"/>
    </row>
    <row r="15" spans="1:94" ht="21" outlineLevel="1" x14ac:dyDescent="0.25">
      <c r="A15" s="51"/>
      <c r="B15" s="32"/>
      <c r="C15" t="s">
        <v>470</v>
      </c>
      <c r="D15" t="s">
        <v>1982</v>
      </c>
      <c r="E15" t="s">
        <v>196</v>
      </c>
      <c r="F15" s="126" t="s">
        <v>387</v>
      </c>
      <c r="G15" s="552">
        <v>2011</v>
      </c>
      <c r="H15" s="47">
        <v>1</v>
      </c>
      <c r="J15" t="s">
        <v>1119</v>
      </c>
      <c r="L15" s="43" t="s">
        <v>573</v>
      </c>
      <c r="M15" s="43">
        <v>45</v>
      </c>
      <c r="N15" s="30"/>
      <c r="O15" s="540">
        <f>804*0.5</f>
        <v>402</v>
      </c>
      <c r="P15" s="30"/>
      <c r="Q15" s="529">
        <f>O15*$M$4</f>
        <v>804</v>
      </c>
      <c r="S15" s="30"/>
      <c r="T15" s="47"/>
      <c r="V15" s="529">
        <f>O15*$M$5</f>
        <v>108.54</v>
      </c>
      <c r="W15" s="139">
        <f t="shared" si="0"/>
        <v>0.27</v>
      </c>
      <c r="X15" s="39"/>
      <c r="Y15" s="39" t="s">
        <v>1994</v>
      </c>
      <c r="Z15" s="56"/>
      <c r="AA15" s="39"/>
      <c r="AB15" s="39" t="s">
        <v>1119</v>
      </c>
      <c r="AD15" s="242"/>
      <c r="AE15" s="361"/>
    </row>
    <row r="16" spans="1:94" ht="21" outlineLevel="1" x14ac:dyDescent="0.25">
      <c r="A16" s="51"/>
      <c r="B16" s="32"/>
      <c r="C16" t="s">
        <v>1297</v>
      </c>
      <c r="D16" t="s">
        <v>1301</v>
      </c>
      <c r="E16" t="s">
        <v>96</v>
      </c>
      <c r="F16" s="126" t="s">
        <v>387</v>
      </c>
      <c r="G16" s="552">
        <v>2011</v>
      </c>
      <c r="H16" s="47">
        <v>1</v>
      </c>
      <c r="J16" t="s">
        <v>1119</v>
      </c>
      <c r="N16" s="60"/>
      <c r="O16" s="30">
        <v>300</v>
      </c>
      <c r="P16" s="30"/>
      <c r="Q16" s="529">
        <f>O16*$M$4</f>
        <v>600</v>
      </c>
      <c r="S16" s="30">
        <f>Q16+S17</f>
        <v>13212</v>
      </c>
      <c r="T16" s="47">
        <f>S16/$Q$10-1</f>
        <v>5.69599999999999E-2</v>
      </c>
      <c r="V16" s="424">
        <f>O16*$M$5</f>
        <v>81</v>
      </c>
      <c r="W16" s="139">
        <f t="shared" si="0"/>
        <v>0.27</v>
      </c>
      <c r="X16" s="56"/>
      <c r="Y16" s="56"/>
      <c r="Z16" s="193"/>
      <c r="AA16" s="56"/>
      <c r="AB16" s="56"/>
      <c r="AD16" s="57"/>
      <c r="AE16" s="362"/>
    </row>
    <row r="17" spans="1:94" ht="21" outlineLevel="1" x14ac:dyDescent="0.25">
      <c r="A17" s="51"/>
      <c r="B17" s="32"/>
      <c r="C17" t="s">
        <v>530</v>
      </c>
      <c r="D17" t="s">
        <v>467</v>
      </c>
      <c r="E17" t="s">
        <v>96</v>
      </c>
      <c r="F17" s="126" t="s">
        <v>387</v>
      </c>
      <c r="G17" s="552">
        <v>2014</v>
      </c>
      <c r="H17" s="47">
        <v>1</v>
      </c>
      <c r="J17" t="s">
        <v>1119</v>
      </c>
      <c r="N17" s="60"/>
      <c r="O17" s="30">
        <v>56</v>
      </c>
      <c r="P17" s="30"/>
      <c r="Q17" s="30">
        <f>O17*$M$4</f>
        <v>112</v>
      </c>
      <c r="S17" s="30">
        <f>Q17+Q10</f>
        <v>12612</v>
      </c>
      <c r="T17" s="47">
        <f>S17/$Q$10-1</f>
        <v>8.960000000000079E-3</v>
      </c>
      <c r="V17" s="424">
        <f>O17*$M$5</f>
        <v>15.120000000000001</v>
      </c>
      <c r="W17" s="139">
        <f t="shared" si="0"/>
        <v>0.27</v>
      </c>
      <c r="X17" s="39"/>
      <c r="Y17" s="39"/>
      <c r="Z17" s="56"/>
      <c r="AA17" s="39"/>
      <c r="AB17" s="39"/>
      <c r="AD17" s="242"/>
      <c r="AE17" s="361"/>
    </row>
    <row r="18" spans="1:94" ht="21" outlineLevel="1" x14ac:dyDescent="0.25">
      <c r="A18" s="51"/>
      <c r="B18" s="32"/>
      <c r="C18" t="s">
        <v>1163</v>
      </c>
      <c r="D18" s="126" t="s">
        <v>462</v>
      </c>
      <c r="E18" s="126" t="s">
        <v>1943</v>
      </c>
      <c r="F18" s="126" t="s">
        <v>387</v>
      </c>
      <c r="G18" s="553">
        <v>2015</v>
      </c>
      <c r="H18" s="47">
        <v>1</v>
      </c>
      <c r="I18" s="64" t="s">
        <v>386</v>
      </c>
      <c r="J18" s="126" t="s">
        <v>1119</v>
      </c>
      <c r="K18" s="126" t="s">
        <v>1934</v>
      </c>
      <c r="M18" s="43">
        <v>3</v>
      </c>
      <c r="N18" s="30"/>
      <c r="P18" s="43">
        <v>130</v>
      </c>
      <c r="Q18" s="30"/>
      <c r="S18" s="30"/>
      <c r="T18" s="47"/>
      <c r="V18" s="30"/>
      <c r="AB18" s="56"/>
      <c r="BD18" s="43">
        <f>SUM(AX18:BC18)</f>
        <v>0</v>
      </c>
      <c r="BK18" s="43">
        <f>SUM(BE18:BJ18)</f>
        <v>0</v>
      </c>
      <c r="BR18" s="43">
        <f>SUM(BL18:BQ18)</f>
        <v>0</v>
      </c>
      <c r="BS18" s="30">
        <f>SUM(BD18+BK18+BR18)</f>
        <v>0</v>
      </c>
    </row>
    <row r="19" spans="1:94" ht="6" customHeight="1" outlineLevel="1" x14ac:dyDescent="0.25">
      <c r="A19" s="51"/>
      <c r="B19" s="32"/>
      <c r="G19" s="552"/>
      <c r="N19" s="60"/>
      <c r="O19" s="30"/>
      <c r="P19" s="30"/>
      <c r="Q19" s="30"/>
      <c r="V19" s="30"/>
      <c r="X19" s="39"/>
      <c r="Y19" s="39"/>
      <c r="Z19" s="56"/>
      <c r="AA19" s="39"/>
      <c r="AB19" s="39"/>
      <c r="AD19" s="242"/>
      <c r="AE19" s="361"/>
    </row>
    <row r="20" spans="1:94" s="56" customFormat="1" ht="21" outlineLevel="1" x14ac:dyDescent="0.2">
      <c r="A20" s="54"/>
      <c r="B20" s="67" t="s">
        <v>215</v>
      </c>
      <c r="C20" s="55"/>
      <c r="D20" s="55"/>
      <c r="E20" s="55"/>
      <c r="F20" s="55"/>
      <c r="G20" s="554"/>
      <c r="H20" s="509"/>
      <c r="I20" s="243"/>
      <c r="J20" s="55"/>
      <c r="K20" s="55"/>
      <c r="L20" s="243"/>
      <c r="N20" s="156"/>
      <c r="O20" s="156"/>
      <c r="P20" s="156"/>
      <c r="S20" s="57"/>
      <c r="T20" s="57"/>
      <c r="V20" s="275"/>
      <c r="W20" s="245"/>
      <c r="AD20" s="57"/>
      <c r="AE20" s="362"/>
      <c r="AF20" s="57"/>
      <c r="AG20" s="57"/>
      <c r="AH20" s="367"/>
      <c r="AI20" s="367"/>
      <c r="AJ20" s="57"/>
      <c r="AK20" s="57"/>
      <c r="AL20" s="57"/>
      <c r="AM20" s="57"/>
      <c r="AN20" s="57"/>
      <c r="AO20" s="275"/>
      <c r="AP20" s="275"/>
      <c r="AQ20" s="57"/>
      <c r="AR20" s="57"/>
      <c r="AS20" s="57"/>
      <c r="AT20" s="57"/>
      <c r="AU20" s="57"/>
      <c r="AV20" s="57"/>
      <c r="AW20" s="57"/>
      <c r="AX20" s="57"/>
      <c r="AY20" s="57"/>
      <c r="AZ20" s="57"/>
      <c r="BA20" s="57"/>
      <c r="BB20" s="57"/>
      <c r="BC20" s="57"/>
      <c r="BD20" s="43"/>
      <c r="BE20" s="57"/>
      <c r="BF20" s="57"/>
      <c r="BG20" s="57"/>
      <c r="BH20" s="57"/>
      <c r="BI20" s="57"/>
      <c r="BJ20" s="57"/>
      <c r="BK20" s="43"/>
      <c r="BL20" s="57"/>
      <c r="BM20" s="57"/>
      <c r="BN20" s="57"/>
      <c r="BO20" s="57"/>
      <c r="BP20" s="57"/>
      <c r="BQ20" s="57"/>
      <c r="BR20" s="43"/>
      <c r="BS20" s="30"/>
      <c r="BT20" s="30"/>
      <c r="BU20" s="30"/>
      <c r="BV20" s="30"/>
      <c r="BW20" s="30"/>
      <c r="BX20" s="30"/>
      <c r="BY20" s="30"/>
      <c r="BZ20" s="30"/>
      <c r="CA20" s="30"/>
      <c r="CB20" s="30"/>
      <c r="CC20" s="30"/>
      <c r="CD20" s="30"/>
      <c r="CE20" s="275"/>
      <c r="CF20" s="275"/>
      <c r="CG20" s="57"/>
      <c r="CH20" s="57"/>
      <c r="CI20" s="375"/>
      <c r="CJ20" s="375"/>
      <c r="CK20" s="57"/>
      <c r="CL20" s="57"/>
      <c r="CM20" s="57"/>
      <c r="CN20" s="57"/>
      <c r="CO20" s="57"/>
      <c r="CP20" s="57"/>
    </row>
    <row r="21" spans="1:94" ht="16" customHeight="1" outlineLevel="1" x14ac:dyDescent="0.25">
      <c r="A21" s="51"/>
      <c r="B21" s="68"/>
      <c r="C21" s="33" t="s">
        <v>1150</v>
      </c>
      <c r="D21" t="s">
        <v>1936</v>
      </c>
      <c r="E21" t="s">
        <v>1943</v>
      </c>
      <c r="F21" t="s">
        <v>1917</v>
      </c>
      <c r="G21" s="552">
        <v>2024</v>
      </c>
      <c r="H21" s="47">
        <v>0.8</v>
      </c>
      <c r="I21" s="43" t="s">
        <v>1923</v>
      </c>
      <c r="J21" t="s">
        <v>1919</v>
      </c>
      <c r="K21" t="s">
        <v>1919</v>
      </c>
      <c r="L21" s="43" t="s">
        <v>2059</v>
      </c>
      <c r="M21" s="43">
        <v>66</v>
      </c>
      <c r="N21" s="60"/>
      <c r="O21" s="30">
        <v>1639</v>
      </c>
      <c r="P21" s="30"/>
      <c r="Q21" s="30">
        <f t="shared" ref="Q21:Q30" si="1">O21*$M$4</f>
        <v>3278</v>
      </c>
      <c r="V21" s="529">
        <f>O21*$M$5</f>
        <v>442.53000000000003</v>
      </c>
      <c r="W21" s="139">
        <f t="shared" ref="W21:W30" si="2">V21/O21</f>
        <v>0.27</v>
      </c>
      <c r="Y21" t="s">
        <v>668</v>
      </c>
      <c r="AB21" s="56" t="s">
        <v>1119</v>
      </c>
    </row>
    <row r="22" spans="1:94" ht="16" customHeight="1" outlineLevel="1" x14ac:dyDescent="0.25">
      <c r="A22" s="51"/>
      <c r="B22" s="32"/>
      <c r="C22" s="37" t="s">
        <v>1922</v>
      </c>
      <c r="D22" s="173" t="s">
        <v>1925</v>
      </c>
      <c r="E22" s="173" t="s">
        <v>1943</v>
      </c>
      <c r="F22" s="173" t="s">
        <v>1927</v>
      </c>
      <c r="G22" s="555">
        <v>2021</v>
      </c>
      <c r="H22" s="510">
        <v>1</v>
      </c>
      <c r="I22" s="506" t="s">
        <v>1923</v>
      </c>
      <c r="J22" s="173" t="s">
        <v>1119</v>
      </c>
      <c r="K22" s="173" t="s">
        <v>1119</v>
      </c>
      <c r="L22" s="63" t="s">
        <v>492</v>
      </c>
      <c r="M22" s="63">
        <v>67</v>
      </c>
      <c r="N22" s="183">
        <v>5814</v>
      </c>
      <c r="O22" s="45">
        <v>861</v>
      </c>
      <c r="P22" s="45"/>
      <c r="Q22" s="30">
        <f t="shared" si="1"/>
        <v>1722</v>
      </c>
      <c r="R22" s="33"/>
      <c r="S22" s="30">
        <f>Q22+S29</f>
        <v>5422</v>
      </c>
      <c r="T22" s="47">
        <f>S22/$Q$10-1</f>
        <v>-0.56624000000000008</v>
      </c>
      <c r="U22" s="33"/>
      <c r="V22" s="34">
        <v>101</v>
      </c>
      <c r="W22" s="139">
        <f t="shared" si="2"/>
        <v>0.1173054587688734</v>
      </c>
      <c r="X22" s="56"/>
      <c r="Y22" s="56" t="s">
        <v>1124</v>
      </c>
      <c r="Z22" s="56"/>
      <c r="AA22" s="311"/>
      <c r="AB22" s="56"/>
      <c r="AC22" s="580">
        <v>42418</v>
      </c>
      <c r="AD22" s="57"/>
      <c r="AE22" s="362"/>
    </row>
    <row r="23" spans="1:94" ht="16" customHeight="1" outlineLevel="1" x14ac:dyDescent="0.25">
      <c r="A23" s="51"/>
      <c r="B23" s="32"/>
      <c r="C23" s="175" t="s">
        <v>298</v>
      </c>
      <c r="D23" t="s">
        <v>1276</v>
      </c>
      <c r="E23" t="s">
        <v>196</v>
      </c>
      <c r="F23" t="s">
        <v>1121</v>
      </c>
      <c r="G23" s="552">
        <v>2020</v>
      </c>
      <c r="H23" s="47">
        <v>1</v>
      </c>
      <c r="I23" s="43" t="s">
        <v>1923</v>
      </c>
      <c r="J23" t="s">
        <v>1119</v>
      </c>
      <c r="K23" t="s">
        <v>1119</v>
      </c>
      <c r="L23" s="43" t="s">
        <v>1153</v>
      </c>
      <c r="M23" s="43">
        <v>68</v>
      </c>
      <c r="N23" s="30">
        <v>2140</v>
      </c>
      <c r="O23" s="30">
        <v>888</v>
      </c>
      <c r="P23" s="30"/>
      <c r="Q23" s="30">
        <f>O23*$M$4</f>
        <v>1776</v>
      </c>
      <c r="S23" s="30">
        <f>Q23+S27</f>
        <v>2188</v>
      </c>
      <c r="T23" s="47">
        <f>S23/$Q$10-1</f>
        <v>-0.82496000000000003</v>
      </c>
      <c r="V23" s="30">
        <v>227</v>
      </c>
      <c r="W23" s="139">
        <f>V23/O23</f>
        <v>0.25563063063063063</v>
      </c>
      <c r="X23" s="39"/>
      <c r="Y23" s="39" t="s">
        <v>520</v>
      </c>
      <c r="Z23" s="56"/>
      <c r="AA23" s="311"/>
      <c r="AB23" s="523" t="s">
        <v>1119</v>
      </c>
      <c r="AD23" s="43" t="s">
        <v>1580</v>
      </c>
      <c r="AE23" s="268" t="s">
        <v>1581</v>
      </c>
      <c r="AF23" s="43" t="s">
        <v>1426</v>
      </c>
      <c r="AG23" s="43" t="s">
        <v>24</v>
      </c>
      <c r="AH23" s="364">
        <v>41949</v>
      </c>
      <c r="AI23" s="364">
        <v>41949</v>
      </c>
      <c r="AJ23" s="268" t="s">
        <v>1581</v>
      </c>
      <c r="AK23" s="43" t="s">
        <v>1424</v>
      </c>
      <c r="AL23" s="268" t="s">
        <v>1582</v>
      </c>
      <c r="AM23" s="268" t="s">
        <v>1582</v>
      </c>
      <c r="AN23" s="43">
        <v>1.32</v>
      </c>
      <c r="AO23" s="30">
        <v>672</v>
      </c>
      <c r="AP23" s="30">
        <v>1743</v>
      </c>
      <c r="AQ23" s="43">
        <v>4</v>
      </c>
      <c r="AR23" s="43">
        <v>227</v>
      </c>
      <c r="AS23" s="43">
        <v>200</v>
      </c>
      <c r="AT23" s="43">
        <v>80</v>
      </c>
      <c r="AU23" s="43">
        <v>83</v>
      </c>
      <c r="AV23" s="43">
        <v>38</v>
      </c>
      <c r="AW23" s="43">
        <v>1805</v>
      </c>
      <c r="AX23" s="43">
        <v>57</v>
      </c>
      <c r="AY23" s="43">
        <v>329</v>
      </c>
      <c r="AZ23" s="43">
        <v>241</v>
      </c>
      <c r="BA23" s="43">
        <v>73</v>
      </c>
      <c r="BB23" s="43">
        <v>0</v>
      </c>
      <c r="BC23" s="43">
        <v>0</v>
      </c>
      <c r="BD23" s="43">
        <f>SUM(AX23:BC23)</f>
        <v>700</v>
      </c>
      <c r="BE23" s="43">
        <v>0</v>
      </c>
      <c r="BF23" s="43">
        <v>24</v>
      </c>
      <c r="BG23" s="43">
        <v>34</v>
      </c>
      <c r="BH23" s="43">
        <v>30</v>
      </c>
      <c r="BI23" s="43">
        <v>22</v>
      </c>
      <c r="BJ23" s="43">
        <v>0</v>
      </c>
      <c r="BK23" s="43">
        <f>SUM(BE23:BJ23)</f>
        <v>110</v>
      </c>
      <c r="BL23" s="43">
        <v>13</v>
      </c>
      <c r="BM23" s="43">
        <v>39</v>
      </c>
      <c r="BN23" s="43">
        <v>26</v>
      </c>
      <c r="BO23" s="43">
        <v>0</v>
      </c>
      <c r="BP23" s="43">
        <v>0</v>
      </c>
      <c r="BQ23" s="43">
        <v>0</v>
      </c>
      <c r="BR23" s="43">
        <f>SUM(BL23:BQ23)</f>
        <v>78</v>
      </c>
      <c r="BS23" s="30">
        <f>SUM(BD23+BK23+BR23)</f>
        <v>888</v>
      </c>
      <c r="CE23" s="30">
        <v>141</v>
      </c>
      <c r="CF23" s="30">
        <v>1488</v>
      </c>
      <c r="CG23" s="43">
        <v>220</v>
      </c>
      <c r="CH23" s="43">
        <v>68</v>
      </c>
      <c r="CI23" s="372" t="s">
        <v>1583</v>
      </c>
      <c r="CJ23" s="372" t="s">
        <v>1584</v>
      </c>
      <c r="CN23" s="425" t="s">
        <v>1585</v>
      </c>
    </row>
    <row r="24" spans="1:94" ht="16" customHeight="1" outlineLevel="1" x14ac:dyDescent="0.25">
      <c r="A24" s="51"/>
      <c r="B24" s="32"/>
      <c r="C24" s="175" t="s">
        <v>1854</v>
      </c>
      <c r="D24" t="s">
        <v>412</v>
      </c>
      <c r="E24" t="s">
        <v>196</v>
      </c>
      <c r="F24" t="s">
        <v>412</v>
      </c>
      <c r="G24" s="552">
        <v>2025</v>
      </c>
      <c r="H24" s="47">
        <v>0.6</v>
      </c>
      <c r="I24" s="43" t="s">
        <v>1923</v>
      </c>
      <c r="J24" t="s">
        <v>1119</v>
      </c>
      <c r="K24" t="s">
        <v>11</v>
      </c>
      <c r="L24" s="43" t="s">
        <v>1267</v>
      </c>
      <c r="M24" s="43">
        <v>56</v>
      </c>
      <c r="N24" s="30">
        <v>2483</v>
      </c>
      <c r="O24" s="30">
        <v>396</v>
      </c>
      <c r="P24" s="30"/>
      <c r="Q24" s="30">
        <f t="shared" si="1"/>
        <v>792</v>
      </c>
      <c r="S24" s="30"/>
      <c r="T24" s="47"/>
      <c r="V24" s="34">
        <v>95</v>
      </c>
      <c r="W24" s="139">
        <f t="shared" si="2"/>
        <v>0.23989898989898989</v>
      </c>
      <c r="X24" s="39"/>
      <c r="Y24" s="39" t="s">
        <v>520</v>
      </c>
      <c r="Z24" s="56"/>
      <c r="AA24" s="311"/>
      <c r="AB24" s="523" t="s">
        <v>1119</v>
      </c>
      <c r="AC24" s="580">
        <v>42502</v>
      </c>
      <c r="AD24" s="242"/>
      <c r="AE24" s="361"/>
      <c r="BD24" s="43">
        <f>SUM(AX24:BC24)</f>
        <v>0</v>
      </c>
      <c r="BK24" s="43">
        <f>SUM(BE24:BJ24)</f>
        <v>0</v>
      </c>
      <c r="BR24" s="43">
        <f>SUM(BL24:BQ24)</f>
        <v>0</v>
      </c>
      <c r="BS24" s="30">
        <f>SUM(BD24+BK24+BR24)</f>
        <v>0</v>
      </c>
    </row>
    <row r="25" spans="1:94" ht="16" customHeight="1" outlineLevel="1" x14ac:dyDescent="0.25">
      <c r="A25" s="51"/>
      <c r="B25" s="32"/>
      <c r="C25" s="178" t="s">
        <v>437</v>
      </c>
      <c r="D25" s="126" t="s">
        <v>1933</v>
      </c>
      <c r="E25" s="126" t="s">
        <v>196</v>
      </c>
      <c r="F25" s="126" t="s">
        <v>412</v>
      </c>
      <c r="G25" s="553">
        <v>2023</v>
      </c>
      <c r="H25" s="513">
        <v>0.9</v>
      </c>
      <c r="I25" s="64" t="s">
        <v>1923</v>
      </c>
      <c r="J25" s="126" t="s">
        <v>1119</v>
      </c>
      <c r="K25" s="126" t="s">
        <v>1919</v>
      </c>
      <c r="L25" s="64" t="s">
        <v>1353</v>
      </c>
      <c r="M25" s="62">
        <v>60</v>
      </c>
      <c r="N25" s="36"/>
      <c r="O25" s="36">
        <v>634</v>
      </c>
      <c r="P25" s="36">
        <v>273</v>
      </c>
      <c r="Q25" s="30">
        <f t="shared" si="1"/>
        <v>1268</v>
      </c>
      <c r="R25" s="33"/>
      <c r="S25" s="30">
        <f>Q25+S24</f>
        <v>1268</v>
      </c>
      <c r="T25" s="47">
        <f t="shared" ref="T25:T41" si="3">S25/$Q$10-1</f>
        <v>-0.89856000000000003</v>
      </c>
      <c r="U25" s="33"/>
      <c r="V25" s="30">
        <v>120</v>
      </c>
      <c r="W25" s="139">
        <f t="shared" si="2"/>
        <v>0.1892744479495268</v>
      </c>
      <c r="Y25" t="s">
        <v>527</v>
      </c>
      <c r="AB25" s="523" t="s">
        <v>1119</v>
      </c>
      <c r="AD25" s="43" t="s">
        <v>1627</v>
      </c>
      <c r="AE25" s="268" t="s">
        <v>1615</v>
      </c>
      <c r="AF25" s="43" t="s">
        <v>1571</v>
      </c>
      <c r="AG25" s="43" t="s">
        <v>1572</v>
      </c>
      <c r="AH25" s="364">
        <v>41711</v>
      </c>
      <c r="AI25" s="364">
        <v>41711</v>
      </c>
      <c r="AJ25" s="268"/>
      <c r="AK25" s="268" t="s">
        <v>1424</v>
      </c>
      <c r="AL25" s="268" t="s">
        <v>1617</v>
      </c>
      <c r="AM25" s="268" t="s">
        <v>1618</v>
      </c>
      <c r="AQ25" s="431" t="s">
        <v>1568</v>
      </c>
      <c r="BK25" s="43">
        <v>352</v>
      </c>
      <c r="CN25" s="498"/>
    </row>
    <row r="26" spans="1:94" ht="16" customHeight="1" outlineLevel="1" x14ac:dyDescent="0.25">
      <c r="A26" s="51"/>
      <c r="B26" s="32"/>
      <c r="C26" s="175" t="s">
        <v>1152</v>
      </c>
      <c r="D26" s="126" t="s">
        <v>412</v>
      </c>
      <c r="E26" s="126" t="s">
        <v>196</v>
      </c>
      <c r="F26" s="126" t="s">
        <v>412</v>
      </c>
      <c r="G26" s="553">
        <v>2022</v>
      </c>
      <c r="H26" s="513">
        <v>0.9</v>
      </c>
      <c r="I26" s="64" t="s">
        <v>1923</v>
      </c>
      <c r="J26" s="126" t="s">
        <v>1119</v>
      </c>
      <c r="K26" s="126" t="s">
        <v>1919</v>
      </c>
      <c r="L26" s="43" t="s">
        <v>2060</v>
      </c>
      <c r="M26" s="43">
        <v>41</v>
      </c>
      <c r="N26" s="30">
        <v>2933</v>
      </c>
      <c r="O26" s="30">
        <v>216</v>
      </c>
      <c r="P26" s="30"/>
      <c r="Q26" s="30">
        <f t="shared" si="1"/>
        <v>432</v>
      </c>
      <c r="S26" s="30">
        <f>Q26+S25</f>
        <v>1700</v>
      </c>
      <c r="T26" s="47">
        <f t="shared" si="3"/>
        <v>-0.86399999999999999</v>
      </c>
      <c r="V26" s="34">
        <v>77</v>
      </c>
      <c r="W26" s="139">
        <f t="shared" si="2"/>
        <v>0.35648148148148145</v>
      </c>
      <c r="Y26" t="s">
        <v>11</v>
      </c>
      <c r="AB26" s="523" t="s">
        <v>1119</v>
      </c>
      <c r="AC26" s="580">
        <v>42754</v>
      </c>
      <c r="AD26" s="242"/>
      <c r="AE26" s="361"/>
      <c r="AQ26" s="43">
        <v>4</v>
      </c>
      <c r="AR26" s="43">
        <v>77</v>
      </c>
      <c r="AT26" s="43">
        <v>26</v>
      </c>
      <c r="AU26" s="43">
        <v>28</v>
      </c>
      <c r="AV26" s="43">
        <v>23</v>
      </c>
      <c r="BD26" s="43">
        <f t="shared" ref="BD26:BD30" si="4">SUM(AX26:BC26)</f>
        <v>0</v>
      </c>
      <c r="BK26" s="43">
        <f t="shared" ref="BK26:BK39" si="5">SUM(BE26:BJ26)</f>
        <v>0</v>
      </c>
      <c r="BR26" s="43">
        <f t="shared" ref="BR26:BR30" si="6">SUM(BL26:BQ26)</f>
        <v>0</v>
      </c>
      <c r="BS26" s="30">
        <f t="shared" ref="BS26:BS30" si="7">SUM(BD26+BK26+BR26)</f>
        <v>0</v>
      </c>
    </row>
    <row r="27" spans="1:94" ht="16" customHeight="1" outlineLevel="1" x14ac:dyDescent="0.25">
      <c r="A27" s="51"/>
      <c r="B27" s="31"/>
      <c r="C27" s="175" t="s">
        <v>1335</v>
      </c>
      <c r="D27" t="s">
        <v>1935</v>
      </c>
      <c r="E27" s="126" t="s">
        <v>196</v>
      </c>
      <c r="F27" s="126" t="s">
        <v>412</v>
      </c>
      <c r="G27" s="552">
        <v>2025</v>
      </c>
      <c r="H27" s="47">
        <v>0.9</v>
      </c>
      <c r="I27" s="64" t="s">
        <v>1930</v>
      </c>
      <c r="J27" s="126" t="s">
        <v>1119</v>
      </c>
      <c r="K27" s="126" t="s">
        <v>1934</v>
      </c>
      <c r="M27" s="43">
        <v>10</v>
      </c>
      <c r="N27" s="60"/>
      <c r="O27" s="30">
        <v>206</v>
      </c>
      <c r="P27" s="30"/>
      <c r="Q27" s="30">
        <f t="shared" si="1"/>
        <v>412</v>
      </c>
      <c r="S27" s="30">
        <f>Q27+S19</f>
        <v>412</v>
      </c>
      <c r="T27" s="47">
        <f t="shared" si="3"/>
        <v>-0.96704000000000001</v>
      </c>
      <c r="V27" s="529">
        <f>O27*$M$5</f>
        <v>55.620000000000005</v>
      </c>
      <c r="W27" s="139">
        <f t="shared" si="2"/>
        <v>0.27</v>
      </c>
      <c r="Y27" t="s">
        <v>11</v>
      </c>
      <c r="AB27" s="523" t="s">
        <v>1119</v>
      </c>
      <c r="AD27" s="43" t="s">
        <v>1634</v>
      </c>
      <c r="AE27" s="268" t="s">
        <v>1635</v>
      </c>
      <c r="AF27" s="43" t="s">
        <v>1636</v>
      </c>
      <c r="AG27" s="43" t="s">
        <v>314</v>
      </c>
      <c r="AH27" s="364">
        <v>40253</v>
      </c>
      <c r="AI27" s="364">
        <v>40437</v>
      </c>
      <c r="AJ27" s="268" t="s">
        <v>1635</v>
      </c>
      <c r="AK27" s="43" t="s">
        <v>1637</v>
      </c>
      <c r="AL27" s="268" t="s">
        <v>1638</v>
      </c>
      <c r="AM27" s="268" t="s">
        <v>1639</v>
      </c>
      <c r="BD27" s="43">
        <f t="shared" si="4"/>
        <v>0</v>
      </c>
      <c r="BK27" s="43">
        <f t="shared" si="5"/>
        <v>0</v>
      </c>
      <c r="BR27" s="43">
        <f t="shared" si="6"/>
        <v>0</v>
      </c>
      <c r="BS27" s="30">
        <f t="shared" si="7"/>
        <v>0</v>
      </c>
      <c r="BT27" s="30">
        <v>305</v>
      </c>
      <c r="BV27" s="30">
        <v>1088</v>
      </c>
      <c r="BZ27" s="30">
        <v>762</v>
      </c>
      <c r="CA27" s="30">
        <v>433</v>
      </c>
      <c r="CC27" s="30">
        <v>379</v>
      </c>
      <c r="CE27" s="30">
        <v>1</v>
      </c>
      <c r="CF27" s="30">
        <v>38</v>
      </c>
      <c r="CG27" s="43">
        <v>124.15</v>
      </c>
      <c r="CH27" s="43">
        <v>38</v>
      </c>
      <c r="CI27" s="372" t="s">
        <v>1640</v>
      </c>
      <c r="CJ27" s="372" t="s">
        <v>1576</v>
      </c>
      <c r="CN27" s="498" t="s">
        <v>1641</v>
      </c>
    </row>
    <row r="28" spans="1:94" ht="16" customHeight="1" outlineLevel="1" x14ac:dyDescent="0.25">
      <c r="A28" s="51"/>
      <c r="B28" s="32"/>
      <c r="C28" s="175" t="s">
        <v>1920</v>
      </c>
      <c r="D28" t="s">
        <v>1924</v>
      </c>
      <c r="E28" t="s">
        <v>196</v>
      </c>
      <c r="F28" t="s">
        <v>1121</v>
      </c>
      <c r="G28" s="552">
        <v>2020</v>
      </c>
      <c r="H28" s="47">
        <v>1</v>
      </c>
      <c r="I28" s="43" t="s">
        <v>1921</v>
      </c>
      <c r="J28" t="s">
        <v>1119</v>
      </c>
      <c r="K28" t="s">
        <v>1119</v>
      </c>
      <c r="L28" s="43" t="s">
        <v>493</v>
      </c>
      <c r="M28" s="43">
        <v>75</v>
      </c>
      <c r="N28" s="30">
        <v>5803</v>
      </c>
      <c r="O28" s="30">
        <v>984</v>
      </c>
      <c r="P28" s="30"/>
      <c r="Q28" s="30">
        <f t="shared" si="1"/>
        <v>1968</v>
      </c>
      <c r="S28" s="30">
        <f>Q28+S26</f>
        <v>3668</v>
      </c>
      <c r="T28" s="47">
        <f t="shared" si="3"/>
        <v>-0.70656000000000008</v>
      </c>
      <c r="V28" s="30">
        <v>61</v>
      </c>
      <c r="W28" s="139">
        <f t="shared" si="2"/>
        <v>6.1991869918699184E-2</v>
      </c>
      <c r="X28" s="56"/>
      <c r="Y28" s="56" t="s">
        <v>516</v>
      </c>
      <c r="Z28" s="56"/>
      <c r="AA28" s="311"/>
      <c r="AB28" s="523" t="s">
        <v>1119</v>
      </c>
      <c r="AD28" s="57" t="s">
        <v>1569</v>
      </c>
      <c r="AE28" s="362" t="s">
        <v>1570</v>
      </c>
      <c r="AF28" s="43" t="s">
        <v>1571</v>
      </c>
      <c r="AG28" s="43" t="s">
        <v>24</v>
      </c>
      <c r="AH28" s="364" t="s">
        <v>1573</v>
      </c>
      <c r="AI28" s="364">
        <v>41473</v>
      </c>
      <c r="AJ28" s="362" t="s">
        <v>1570</v>
      </c>
      <c r="AK28" s="43" t="s">
        <v>57</v>
      </c>
      <c r="AL28" s="268" t="s">
        <v>1574</v>
      </c>
      <c r="AM28" s="268" t="s">
        <v>1575</v>
      </c>
      <c r="AN28" s="43">
        <v>0.28000000000000003</v>
      </c>
      <c r="AO28" s="30">
        <v>2935</v>
      </c>
      <c r="AP28" s="30">
        <v>5803</v>
      </c>
      <c r="AQ28" s="43">
        <v>5</v>
      </c>
      <c r="AR28" s="43" t="s">
        <v>1576</v>
      </c>
      <c r="AS28" s="43" t="s">
        <v>1576</v>
      </c>
      <c r="AT28" s="43" t="s">
        <v>1576</v>
      </c>
      <c r="AU28" s="43" t="s">
        <v>1576</v>
      </c>
      <c r="AV28" s="43" t="s">
        <v>1576</v>
      </c>
      <c r="AW28" s="43" t="s">
        <v>1576</v>
      </c>
      <c r="AX28" s="43">
        <v>176</v>
      </c>
      <c r="AY28" s="43">
        <v>324</v>
      </c>
      <c r="AZ28" s="43">
        <v>212</v>
      </c>
      <c r="BA28" s="43">
        <v>36</v>
      </c>
      <c r="BB28" s="43">
        <v>4</v>
      </c>
      <c r="BC28" s="43">
        <v>0</v>
      </c>
      <c r="BD28" s="43">
        <f t="shared" si="4"/>
        <v>752</v>
      </c>
      <c r="BE28" s="43">
        <v>0</v>
      </c>
      <c r="BF28" s="43">
        <v>11</v>
      </c>
      <c r="BG28" s="43">
        <v>22</v>
      </c>
      <c r="BH28" s="43">
        <v>73</v>
      </c>
      <c r="BI28" s="43">
        <v>26</v>
      </c>
      <c r="BJ28" s="43">
        <v>10</v>
      </c>
      <c r="BK28" s="43">
        <f t="shared" si="5"/>
        <v>142</v>
      </c>
      <c r="BL28" s="43">
        <v>2</v>
      </c>
      <c r="BM28" s="43">
        <v>45</v>
      </c>
      <c r="BN28" s="43">
        <v>50</v>
      </c>
      <c r="BO28" s="43">
        <v>4</v>
      </c>
      <c r="BP28" s="43">
        <v>0</v>
      </c>
      <c r="BQ28" s="43">
        <v>0</v>
      </c>
      <c r="BR28" s="43">
        <f t="shared" si="6"/>
        <v>101</v>
      </c>
      <c r="BS28" s="30">
        <f t="shared" si="7"/>
        <v>995</v>
      </c>
      <c r="CE28" s="30">
        <v>40</v>
      </c>
      <c r="CF28" s="30">
        <v>904</v>
      </c>
      <c r="CG28" s="43">
        <v>239</v>
      </c>
      <c r="CH28" s="43">
        <v>75</v>
      </c>
      <c r="CI28" s="372" t="s">
        <v>1577</v>
      </c>
      <c r="CJ28" s="372" t="s">
        <v>1578</v>
      </c>
      <c r="CN28" s="425" t="s">
        <v>1579</v>
      </c>
    </row>
    <row r="29" spans="1:94" ht="16" customHeight="1" outlineLevel="1" x14ac:dyDescent="0.25">
      <c r="A29" s="51"/>
      <c r="B29" s="32"/>
      <c r="C29" s="175" t="s">
        <v>1503</v>
      </c>
      <c r="D29" s="33" t="s">
        <v>446</v>
      </c>
      <c r="E29" s="33" t="s">
        <v>196</v>
      </c>
      <c r="F29" s="33" t="s">
        <v>1121</v>
      </c>
      <c r="G29" s="556">
        <v>2021</v>
      </c>
      <c r="H29" s="47">
        <v>1</v>
      </c>
      <c r="I29" s="61" t="s">
        <v>1923</v>
      </c>
      <c r="J29" s="33" t="s">
        <v>1119</v>
      </c>
      <c r="K29" s="33" t="s">
        <v>1119</v>
      </c>
      <c r="L29" s="61" t="s">
        <v>499</v>
      </c>
      <c r="M29" s="61">
        <v>55</v>
      </c>
      <c r="N29" s="34">
        <v>3357</v>
      </c>
      <c r="O29" s="34">
        <v>756</v>
      </c>
      <c r="P29" s="34"/>
      <c r="Q29" s="30">
        <f t="shared" si="1"/>
        <v>1512</v>
      </c>
      <c r="R29" s="33"/>
      <c r="S29" s="30">
        <f>Q29+S23</f>
        <v>3700</v>
      </c>
      <c r="T29" s="47">
        <f t="shared" si="3"/>
        <v>-0.70399999999999996</v>
      </c>
      <c r="U29" s="33"/>
      <c r="V29" s="30">
        <v>165</v>
      </c>
      <c r="W29" s="139">
        <f t="shared" si="2"/>
        <v>0.21825396825396826</v>
      </c>
      <c r="X29" s="56"/>
      <c r="Y29" s="56" t="s">
        <v>519</v>
      </c>
      <c r="Z29" s="56"/>
      <c r="AA29" s="311"/>
      <c r="AB29" s="523" t="s">
        <v>1119</v>
      </c>
      <c r="AD29" s="43" t="s">
        <v>1599</v>
      </c>
      <c r="AE29" s="268" t="s">
        <v>1600</v>
      </c>
      <c r="AF29" s="43" t="s">
        <v>1601</v>
      </c>
      <c r="AG29" s="43" t="s">
        <v>24</v>
      </c>
      <c r="AH29" s="364">
        <v>41949</v>
      </c>
      <c r="AI29" s="364">
        <v>41949</v>
      </c>
      <c r="AJ29" s="268" t="s">
        <v>1600</v>
      </c>
      <c r="AK29" s="43" t="s">
        <v>1424</v>
      </c>
      <c r="AL29" s="268" t="s">
        <v>1602</v>
      </c>
      <c r="AM29" s="43" t="s">
        <v>1576</v>
      </c>
      <c r="AN29" s="43">
        <v>0.54</v>
      </c>
      <c r="AO29" s="30">
        <v>1400</v>
      </c>
      <c r="AP29" s="30">
        <v>3357</v>
      </c>
      <c r="AQ29" s="43">
        <v>5</v>
      </c>
      <c r="AR29" s="43" t="s">
        <v>1576</v>
      </c>
      <c r="AS29" s="43" t="s">
        <v>1576</v>
      </c>
      <c r="AT29" s="43">
        <v>67</v>
      </c>
      <c r="AU29" s="43">
        <v>56</v>
      </c>
      <c r="AV29" s="43">
        <v>43</v>
      </c>
      <c r="AW29" s="43">
        <v>1660</v>
      </c>
      <c r="AX29" s="43">
        <v>170</v>
      </c>
      <c r="AY29" s="43">
        <v>171</v>
      </c>
      <c r="AZ29" s="43">
        <v>280</v>
      </c>
      <c r="BA29" s="43">
        <v>3</v>
      </c>
      <c r="BB29" s="43">
        <v>0</v>
      </c>
      <c r="BC29" s="43">
        <v>0</v>
      </c>
      <c r="BD29" s="43">
        <f t="shared" si="4"/>
        <v>624</v>
      </c>
      <c r="BE29" s="43">
        <v>0</v>
      </c>
      <c r="BF29" s="43">
        <v>27</v>
      </c>
      <c r="BG29" s="43">
        <v>22</v>
      </c>
      <c r="BH29" s="43">
        <v>28</v>
      </c>
      <c r="BI29" s="43">
        <v>13</v>
      </c>
      <c r="BJ29" s="43">
        <v>0</v>
      </c>
      <c r="BK29" s="43">
        <f t="shared" si="5"/>
        <v>90</v>
      </c>
      <c r="BL29" s="43">
        <v>0</v>
      </c>
      <c r="BM29" s="43">
        <v>11</v>
      </c>
      <c r="BN29" s="43">
        <v>21</v>
      </c>
      <c r="BO29" s="43">
        <v>10</v>
      </c>
      <c r="BP29" s="43">
        <v>0</v>
      </c>
      <c r="BQ29" s="43">
        <v>0</v>
      </c>
      <c r="BR29" s="43">
        <f t="shared" si="6"/>
        <v>42</v>
      </c>
      <c r="BS29" s="30">
        <f t="shared" si="7"/>
        <v>756</v>
      </c>
      <c r="CE29" s="30">
        <v>102</v>
      </c>
      <c r="CF29" s="30">
        <v>808</v>
      </c>
      <c r="CG29" s="43">
        <v>187.5</v>
      </c>
      <c r="CH29" s="43">
        <v>55</v>
      </c>
      <c r="CI29" s="430" t="s">
        <v>1603</v>
      </c>
      <c r="CJ29" s="372" t="s">
        <v>1604</v>
      </c>
      <c r="CN29" s="498" t="s">
        <v>1585</v>
      </c>
    </row>
    <row r="30" spans="1:94" ht="16" customHeight="1" outlineLevel="1" x14ac:dyDescent="0.25">
      <c r="A30" s="51"/>
      <c r="B30" s="32"/>
      <c r="C30" s="176" t="s">
        <v>1136</v>
      </c>
      <c r="D30" s="37" t="s">
        <v>457</v>
      </c>
      <c r="E30" s="37" t="s">
        <v>196</v>
      </c>
      <c r="F30" s="37" t="s">
        <v>1121</v>
      </c>
      <c r="G30" s="557">
        <v>2020</v>
      </c>
      <c r="H30" s="512">
        <v>1</v>
      </c>
      <c r="I30" s="63" t="s">
        <v>1930</v>
      </c>
      <c r="J30" s="37" t="s">
        <v>1119</v>
      </c>
      <c r="K30" s="37" t="s">
        <v>1930</v>
      </c>
      <c r="L30" s="63" t="s">
        <v>494</v>
      </c>
      <c r="M30" s="63">
        <v>58</v>
      </c>
      <c r="N30" s="183">
        <v>2738</v>
      </c>
      <c r="O30" s="45">
        <v>575</v>
      </c>
      <c r="P30" s="45"/>
      <c r="Q30" s="30">
        <f t="shared" si="1"/>
        <v>1150</v>
      </c>
      <c r="R30" s="33"/>
      <c r="S30" s="30">
        <f>Q30+S21</f>
        <v>1150</v>
      </c>
      <c r="T30" s="47">
        <f t="shared" si="3"/>
        <v>-0.90800000000000003</v>
      </c>
      <c r="U30" s="33"/>
      <c r="V30" s="30">
        <v>1</v>
      </c>
      <c r="W30" s="139">
        <f t="shared" si="2"/>
        <v>1.7391304347826088E-3</v>
      </c>
      <c r="X30" s="39"/>
      <c r="Y30" t="s">
        <v>668</v>
      </c>
      <c r="Z30" s="56"/>
      <c r="AA30" s="39"/>
      <c r="AB30" s="523" t="s">
        <v>1119</v>
      </c>
      <c r="AD30" s="242"/>
      <c r="AE30" s="361"/>
      <c r="BD30" s="43">
        <f t="shared" si="4"/>
        <v>0</v>
      </c>
      <c r="BK30" s="43">
        <f t="shared" si="5"/>
        <v>0</v>
      </c>
      <c r="BR30" s="43">
        <f t="shared" si="6"/>
        <v>0</v>
      </c>
      <c r="BS30" s="30">
        <f t="shared" si="7"/>
        <v>0</v>
      </c>
    </row>
    <row r="31" spans="1:94" ht="16" customHeight="1" outlineLevel="1" x14ac:dyDescent="0.25">
      <c r="A31" s="51"/>
      <c r="B31" s="32"/>
      <c r="C31" s="177" t="s">
        <v>1311</v>
      </c>
      <c r="D31" s="126" t="s">
        <v>1932</v>
      </c>
      <c r="E31" s="126" t="s">
        <v>196</v>
      </c>
      <c r="F31" s="126" t="s">
        <v>1121</v>
      </c>
      <c r="G31" s="553">
        <v>2017</v>
      </c>
      <c r="H31" s="513">
        <v>1</v>
      </c>
      <c r="I31" s="64" t="s">
        <v>386</v>
      </c>
      <c r="J31" s="126" t="s">
        <v>1119</v>
      </c>
      <c r="K31" s="126" t="s">
        <v>1934</v>
      </c>
      <c r="L31" s="62" t="s">
        <v>528</v>
      </c>
      <c r="M31" s="62">
        <v>39</v>
      </c>
      <c r="N31" s="36"/>
      <c r="O31" s="36"/>
      <c r="P31" s="36">
        <v>305</v>
      </c>
      <c r="Q31" s="30"/>
      <c r="R31" s="33"/>
      <c r="S31" s="30">
        <f>Q31+S30</f>
        <v>1150</v>
      </c>
      <c r="T31" s="47">
        <f t="shared" si="3"/>
        <v>-0.90800000000000003</v>
      </c>
      <c r="U31" s="33"/>
      <c r="V31" s="30"/>
      <c r="Y31" s="39" t="s">
        <v>1329</v>
      </c>
      <c r="AB31" s="523" t="s">
        <v>1119</v>
      </c>
      <c r="AD31" s="43" t="s">
        <v>1625</v>
      </c>
      <c r="AE31" s="268" t="s">
        <v>1615</v>
      </c>
      <c r="AF31" s="43" t="s">
        <v>1571</v>
      </c>
      <c r="AG31" s="43" t="s">
        <v>1572</v>
      </c>
      <c r="AH31" s="364">
        <v>41711</v>
      </c>
      <c r="AI31" s="364">
        <v>41711</v>
      </c>
      <c r="AJ31" s="268"/>
      <c r="AK31" s="268" t="s">
        <v>1424</v>
      </c>
      <c r="AL31" s="268" t="s">
        <v>1617</v>
      </c>
      <c r="AM31" s="268" t="s">
        <v>1618</v>
      </c>
      <c r="BE31" s="43">
        <v>0</v>
      </c>
      <c r="BF31" s="43">
        <v>5</v>
      </c>
      <c r="BG31" s="43">
        <v>5</v>
      </c>
      <c r="BH31" s="43">
        <v>30</v>
      </c>
      <c r="BI31" s="43">
        <v>2</v>
      </c>
      <c r="BJ31" s="43">
        <v>0</v>
      </c>
      <c r="BK31" s="43">
        <f t="shared" si="5"/>
        <v>42</v>
      </c>
      <c r="CN31" s="498"/>
    </row>
    <row r="32" spans="1:94" ht="16" customHeight="1" outlineLevel="1" x14ac:dyDescent="0.25">
      <c r="A32" s="51"/>
      <c r="B32" s="32"/>
      <c r="C32" s="177" t="s">
        <v>451</v>
      </c>
      <c r="D32" s="126" t="s">
        <v>1931</v>
      </c>
      <c r="E32" s="126" t="s">
        <v>196</v>
      </c>
      <c r="F32" s="126" t="s">
        <v>1917</v>
      </c>
      <c r="G32" s="553">
        <v>2025</v>
      </c>
      <c r="H32" s="513">
        <v>0.5</v>
      </c>
      <c r="I32" s="64" t="s">
        <v>1923</v>
      </c>
      <c r="J32" s="126" t="s">
        <v>1919</v>
      </c>
      <c r="K32" s="126" t="s">
        <v>1919</v>
      </c>
      <c r="L32" s="62" t="s">
        <v>11</v>
      </c>
      <c r="M32" s="62">
        <v>43</v>
      </c>
      <c r="N32" s="36"/>
      <c r="O32" s="36">
        <v>275</v>
      </c>
      <c r="P32" s="36"/>
      <c r="Q32" s="30">
        <f t="shared" ref="Q32:Q41" si="8">O32*$M$4</f>
        <v>550</v>
      </c>
      <c r="R32" s="33"/>
      <c r="S32" s="30" t="e">
        <f>Q32+#REF!</f>
        <v>#REF!</v>
      </c>
      <c r="T32" s="47" t="e">
        <f t="shared" si="3"/>
        <v>#REF!</v>
      </c>
      <c r="U32" s="33"/>
      <c r="V32" s="529">
        <f>O32*$M$5</f>
        <v>74.25</v>
      </c>
      <c r="W32" s="139">
        <f t="shared" ref="W32:W41" si="9">V32/O32</f>
        <v>0.27</v>
      </c>
      <c r="X32" s="39"/>
      <c r="Y32" s="39" t="s">
        <v>11</v>
      </c>
      <c r="Z32" s="39"/>
      <c r="AA32" s="39"/>
      <c r="AB32" s="523" t="s">
        <v>1119</v>
      </c>
      <c r="AD32" s="43" t="s">
        <v>1623</v>
      </c>
      <c r="AE32" s="268" t="s">
        <v>1615</v>
      </c>
      <c r="AF32" s="43" t="s">
        <v>1571</v>
      </c>
      <c r="AG32" s="43" t="s">
        <v>1572</v>
      </c>
      <c r="AH32" s="364">
        <v>41711</v>
      </c>
      <c r="AI32" s="364">
        <v>41711</v>
      </c>
      <c r="AJ32" s="268"/>
      <c r="AK32" s="268" t="s">
        <v>1424</v>
      </c>
      <c r="AL32" s="268" t="s">
        <v>1617</v>
      </c>
      <c r="AM32" s="268" t="s">
        <v>1618</v>
      </c>
      <c r="BE32" s="43">
        <v>0</v>
      </c>
      <c r="BF32" s="43">
        <v>0</v>
      </c>
      <c r="BG32" s="43">
        <v>0</v>
      </c>
      <c r="BH32" s="43">
        <v>6</v>
      </c>
      <c r="BI32" s="43">
        <v>13</v>
      </c>
      <c r="BJ32" s="43">
        <v>1</v>
      </c>
      <c r="BK32" s="43">
        <f t="shared" si="5"/>
        <v>20</v>
      </c>
      <c r="CN32" s="498"/>
    </row>
    <row r="33" spans="1:94" ht="16" customHeight="1" outlineLevel="1" x14ac:dyDescent="0.25">
      <c r="A33" s="51"/>
      <c r="B33" s="32"/>
      <c r="C33" s="175" t="s">
        <v>296</v>
      </c>
      <c r="D33" t="s">
        <v>412</v>
      </c>
      <c r="E33" t="s">
        <v>96</v>
      </c>
      <c r="F33" t="s">
        <v>412</v>
      </c>
      <c r="G33" s="552">
        <v>2026</v>
      </c>
      <c r="H33" s="47">
        <v>0.6</v>
      </c>
      <c r="I33" s="43" t="s">
        <v>1923</v>
      </c>
      <c r="J33" t="s">
        <v>1119</v>
      </c>
      <c r="K33" t="s">
        <v>1919</v>
      </c>
      <c r="M33" s="43">
        <v>44</v>
      </c>
      <c r="N33" s="30">
        <v>1875</v>
      </c>
      <c r="O33" s="30">
        <v>1513</v>
      </c>
      <c r="P33" s="30"/>
      <c r="Q33" s="30">
        <f t="shared" si="8"/>
        <v>3026</v>
      </c>
      <c r="S33" s="30">
        <f>Q33+S21</f>
        <v>3026</v>
      </c>
      <c r="T33" s="47">
        <f t="shared" si="3"/>
        <v>-0.75792000000000004</v>
      </c>
      <c r="V33" s="30">
        <v>507</v>
      </c>
      <c r="W33" s="139">
        <f t="shared" si="9"/>
        <v>0.33509583608724386</v>
      </c>
      <c r="Y33" s="39" t="s">
        <v>511</v>
      </c>
      <c r="Z33" s="56"/>
      <c r="AA33" s="311"/>
      <c r="AB33" s="523" t="s">
        <v>1119</v>
      </c>
      <c r="AD33" s="242" t="s">
        <v>1427</v>
      </c>
      <c r="AE33" s="361" t="s">
        <v>1496</v>
      </c>
      <c r="AF33" s="43" t="s">
        <v>1426</v>
      </c>
      <c r="AG33" s="43" t="s">
        <v>24</v>
      </c>
      <c r="AH33" s="364">
        <v>42159</v>
      </c>
      <c r="AI33" s="364">
        <v>42206</v>
      </c>
      <c r="AJ33" s="268" t="s">
        <v>1425</v>
      </c>
      <c r="AK33" s="43" t="s">
        <v>1424</v>
      </c>
      <c r="AL33" s="268" t="s">
        <v>1566</v>
      </c>
      <c r="AM33" s="268" t="s">
        <v>1567</v>
      </c>
      <c r="AN33" s="43">
        <v>2.58</v>
      </c>
      <c r="AO33" s="30">
        <v>647</v>
      </c>
      <c r="AP33" s="30">
        <v>1785</v>
      </c>
      <c r="AQ33" s="43" t="s">
        <v>1568</v>
      </c>
      <c r="AR33" s="43">
        <v>507</v>
      </c>
      <c r="AS33" s="43">
        <v>450</v>
      </c>
      <c r="AT33" s="43">
        <v>178</v>
      </c>
      <c r="AU33" s="43">
        <v>183</v>
      </c>
      <c r="AV33" s="43">
        <v>89</v>
      </c>
      <c r="AW33" s="43">
        <v>5068</v>
      </c>
      <c r="AX33" s="43">
        <v>153</v>
      </c>
      <c r="AY33" s="43">
        <v>367</v>
      </c>
      <c r="AZ33" s="43">
        <v>471</v>
      </c>
      <c r="BA33" s="43">
        <v>181</v>
      </c>
      <c r="BB33" s="43">
        <v>3</v>
      </c>
      <c r="BC33" s="43">
        <v>0</v>
      </c>
      <c r="BD33" s="43">
        <f t="shared" ref="BD33:BD39" si="10">SUM(AX33:BC33)</f>
        <v>1175</v>
      </c>
      <c r="BE33" s="43">
        <v>0</v>
      </c>
      <c r="BF33" s="43">
        <v>32</v>
      </c>
      <c r="BG33" s="43">
        <v>52</v>
      </c>
      <c r="BH33" s="43">
        <v>146</v>
      </c>
      <c r="BI33" s="43">
        <v>10</v>
      </c>
      <c r="BJ33" s="43">
        <v>0</v>
      </c>
      <c r="BK33" s="43">
        <f t="shared" si="5"/>
        <v>240</v>
      </c>
      <c r="BL33" s="43">
        <v>1</v>
      </c>
      <c r="BM33" s="43">
        <v>23</v>
      </c>
      <c r="BN33" s="43">
        <v>42</v>
      </c>
      <c r="BO33" s="43">
        <v>19</v>
      </c>
      <c r="BP33" s="43">
        <v>0</v>
      </c>
      <c r="BQ33" s="43">
        <v>0</v>
      </c>
      <c r="BR33" s="43">
        <f t="shared" ref="BR33:BR39" si="11">SUM(BL33:BQ33)</f>
        <v>85</v>
      </c>
      <c r="BS33" s="30">
        <f t="shared" ref="BS33:BS39" si="12">SUM(BD33+BK33+BR33)</f>
        <v>1500</v>
      </c>
      <c r="CE33" s="30">
        <v>244</v>
      </c>
      <c r="CF33" s="30">
        <v>3304</v>
      </c>
      <c r="CG33" s="43">
        <v>146.6</v>
      </c>
      <c r="CH33" s="43">
        <v>45</v>
      </c>
      <c r="CI33" s="372">
        <v>890325</v>
      </c>
      <c r="CN33" s="498" t="s">
        <v>1429</v>
      </c>
    </row>
    <row r="34" spans="1:94" ht="16" customHeight="1" outlineLevel="1" x14ac:dyDescent="0.25">
      <c r="A34" s="51"/>
      <c r="B34" s="32"/>
      <c r="C34" s="35" t="s">
        <v>435</v>
      </c>
      <c r="D34" s="35" t="s">
        <v>482</v>
      </c>
      <c r="E34" s="35" t="s">
        <v>96</v>
      </c>
      <c r="F34" s="35" t="s">
        <v>387</v>
      </c>
      <c r="G34" s="558">
        <v>2016</v>
      </c>
      <c r="H34" s="511">
        <v>1</v>
      </c>
      <c r="I34" s="64" t="s">
        <v>1923</v>
      </c>
      <c r="J34" s="35" t="s">
        <v>1119</v>
      </c>
      <c r="K34" s="126" t="s">
        <v>1119</v>
      </c>
      <c r="L34" s="62" t="s">
        <v>524</v>
      </c>
      <c r="M34" s="62">
        <v>32</v>
      </c>
      <c r="N34" s="36">
        <v>1528</v>
      </c>
      <c r="O34" s="36">
        <v>546</v>
      </c>
      <c r="P34" s="36"/>
      <c r="Q34" s="30">
        <f t="shared" si="8"/>
        <v>1092</v>
      </c>
      <c r="R34" s="33"/>
      <c r="S34" s="30">
        <f>Q34+S33</f>
        <v>4118</v>
      </c>
      <c r="T34" s="47">
        <f t="shared" si="3"/>
        <v>-0.67056000000000004</v>
      </c>
      <c r="U34" s="33"/>
      <c r="V34" s="30">
        <v>168</v>
      </c>
      <c r="W34" s="139">
        <f t="shared" si="9"/>
        <v>0.30769230769230771</v>
      </c>
      <c r="X34" s="39"/>
      <c r="Y34" s="39" t="s">
        <v>511</v>
      </c>
      <c r="Z34" s="56"/>
      <c r="AA34" s="311"/>
      <c r="AB34" s="39"/>
      <c r="AD34" s="43" t="s">
        <v>1605</v>
      </c>
      <c r="AE34" s="268" t="s">
        <v>1606</v>
      </c>
      <c r="AF34" s="43" t="s">
        <v>1607</v>
      </c>
      <c r="AG34" s="43" t="s">
        <v>1608</v>
      </c>
      <c r="AH34" s="364">
        <v>39520</v>
      </c>
      <c r="AI34" s="364">
        <v>39520</v>
      </c>
      <c r="AJ34" s="268" t="s">
        <v>1606</v>
      </c>
      <c r="AK34" s="43" t="s">
        <v>1424</v>
      </c>
      <c r="AL34" s="268" t="s">
        <v>1609</v>
      </c>
      <c r="AM34" s="268" t="s">
        <v>1610</v>
      </c>
      <c r="AN34" s="43">
        <v>0.94</v>
      </c>
      <c r="AO34" s="30">
        <v>580</v>
      </c>
      <c r="AP34" s="30">
        <v>1528</v>
      </c>
      <c r="AQ34" s="43">
        <v>4</v>
      </c>
      <c r="AR34" s="43" t="s">
        <v>1576</v>
      </c>
      <c r="AS34" s="43" t="s">
        <v>1576</v>
      </c>
      <c r="AT34" s="43" t="s">
        <v>1576</v>
      </c>
      <c r="AU34" s="43" t="s">
        <v>1576</v>
      </c>
      <c r="AV34" s="43" t="s">
        <v>1576</v>
      </c>
      <c r="AW34" s="43">
        <v>1680</v>
      </c>
      <c r="AX34" s="43">
        <v>87</v>
      </c>
      <c r="AY34" s="43">
        <v>121</v>
      </c>
      <c r="AZ34" s="43">
        <v>79</v>
      </c>
      <c r="BA34" s="43">
        <v>94</v>
      </c>
      <c r="BB34" s="43">
        <v>0</v>
      </c>
      <c r="BC34" s="43">
        <v>0</v>
      </c>
      <c r="BD34" s="43">
        <f t="shared" si="10"/>
        <v>381</v>
      </c>
      <c r="BE34" s="43">
        <v>0</v>
      </c>
      <c r="BF34" s="43">
        <v>26</v>
      </c>
      <c r="BG34" s="43">
        <v>37</v>
      </c>
      <c r="BH34" s="43">
        <v>46</v>
      </c>
      <c r="BI34" s="43">
        <v>14</v>
      </c>
      <c r="BJ34" s="43">
        <v>0</v>
      </c>
      <c r="BK34" s="43">
        <f t="shared" si="5"/>
        <v>123</v>
      </c>
      <c r="BL34" s="43">
        <v>0</v>
      </c>
      <c r="BM34" s="43">
        <v>26</v>
      </c>
      <c r="BN34" s="43">
        <v>9</v>
      </c>
      <c r="BO34" s="43">
        <v>7</v>
      </c>
      <c r="BP34" s="43">
        <v>0</v>
      </c>
      <c r="BQ34" s="43">
        <v>0</v>
      </c>
      <c r="BR34" s="43">
        <f t="shared" si="11"/>
        <v>42</v>
      </c>
      <c r="BS34" s="30">
        <f t="shared" si="12"/>
        <v>546</v>
      </c>
      <c r="CE34" s="30">
        <v>150</v>
      </c>
      <c r="CF34" s="30">
        <v>578</v>
      </c>
      <c r="CG34" s="43">
        <v>31</v>
      </c>
      <c r="CH34" s="43">
        <v>99.5</v>
      </c>
      <c r="CI34" s="372" t="s">
        <v>1576</v>
      </c>
      <c r="CJ34" s="372" t="s">
        <v>1576</v>
      </c>
      <c r="CN34" s="498" t="s">
        <v>1611</v>
      </c>
    </row>
    <row r="35" spans="1:94" ht="16" customHeight="1" outlineLevel="1" x14ac:dyDescent="0.25">
      <c r="A35" s="51"/>
      <c r="B35" s="32"/>
      <c r="C35" s="175" t="s">
        <v>178</v>
      </c>
      <c r="D35" t="s">
        <v>1926</v>
      </c>
      <c r="E35" t="s">
        <v>96</v>
      </c>
      <c r="F35" t="s">
        <v>1121</v>
      </c>
      <c r="G35" s="552">
        <v>2021</v>
      </c>
      <c r="H35" s="47">
        <v>1</v>
      </c>
      <c r="I35" s="43" t="s">
        <v>1923</v>
      </c>
      <c r="J35" t="s">
        <v>1119</v>
      </c>
      <c r="K35" t="s">
        <v>1119</v>
      </c>
      <c r="L35" s="43" t="s">
        <v>526</v>
      </c>
      <c r="M35" s="43">
        <v>42</v>
      </c>
      <c r="N35" s="30">
        <v>2492</v>
      </c>
      <c r="O35" s="30">
        <v>901</v>
      </c>
      <c r="P35" s="30"/>
      <c r="Q35" s="30">
        <f t="shared" si="8"/>
        <v>1802</v>
      </c>
      <c r="S35" s="30">
        <f>Q35+S33</f>
        <v>4828</v>
      </c>
      <c r="T35" s="47">
        <f t="shared" si="3"/>
        <v>-0.61375999999999997</v>
      </c>
      <c r="V35" s="30">
        <v>240</v>
      </c>
      <c r="W35" s="139">
        <f t="shared" si="9"/>
        <v>0.26637069922308548</v>
      </c>
      <c r="X35" s="56"/>
      <c r="Y35" s="56" t="s">
        <v>529</v>
      </c>
      <c r="Z35" s="245"/>
      <c r="AA35" s="311"/>
      <c r="AB35" s="56" t="s">
        <v>1119</v>
      </c>
      <c r="AD35" s="57" t="s">
        <v>1586</v>
      </c>
      <c r="AE35" s="362" t="s">
        <v>1587</v>
      </c>
      <c r="AF35" s="43" t="s">
        <v>1426</v>
      </c>
      <c r="AG35" s="43" t="s">
        <v>24</v>
      </c>
      <c r="AH35" s="364">
        <v>41710</v>
      </c>
      <c r="AI35" s="364">
        <v>42117</v>
      </c>
      <c r="AJ35" s="268" t="s">
        <v>1588</v>
      </c>
      <c r="AK35" s="43" t="s">
        <v>1424</v>
      </c>
      <c r="AL35" s="43" t="s">
        <v>1589</v>
      </c>
      <c r="AM35" s="43" t="s">
        <v>1589</v>
      </c>
      <c r="AN35" s="43">
        <v>1.038</v>
      </c>
      <c r="AO35" s="30">
        <v>867</v>
      </c>
      <c r="AP35" s="30">
        <v>2492</v>
      </c>
      <c r="AQ35" s="43" t="s">
        <v>1590</v>
      </c>
      <c r="AR35" s="43">
        <v>251</v>
      </c>
      <c r="AS35" s="43">
        <v>245</v>
      </c>
      <c r="AT35" s="43">
        <v>105</v>
      </c>
      <c r="AU35" s="43">
        <v>94</v>
      </c>
      <c r="AV35" s="43">
        <v>44</v>
      </c>
      <c r="AW35" s="43">
        <v>2447</v>
      </c>
      <c r="AX35" s="43">
        <v>76</v>
      </c>
      <c r="AY35" s="43">
        <v>231</v>
      </c>
      <c r="AZ35" s="43">
        <v>213</v>
      </c>
      <c r="BA35" s="43">
        <v>104</v>
      </c>
      <c r="BB35" s="43">
        <v>0</v>
      </c>
      <c r="BC35" s="43">
        <v>0</v>
      </c>
      <c r="BD35" s="43">
        <f t="shared" si="10"/>
        <v>624</v>
      </c>
      <c r="BF35" s="43">
        <v>74</v>
      </c>
      <c r="BG35" s="43">
        <v>35</v>
      </c>
      <c r="BH35" s="43">
        <v>61</v>
      </c>
      <c r="BI35" s="43">
        <v>0</v>
      </c>
      <c r="BJ35" s="43">
        <v>0</v>
      </c>
      <c r="BK35" s="43">
        <f t="shared" si="5"/>
        <v>170</v>
      </c>
      <c r="BL35" s="43">
        <v>0</v>
      </c>
      <c r="BM35" s="43">
        <v>45</v>
      </c>
      <c r="BN35" s="43">
        <v>56</v>
      </c>
      <c r="BO35" s="43">
        <v>0</v>
      </c>
      <c r="BP35" s="43">
        <v>0</v>
      </c>
      <c r="BQ35" s="43">
        <v>0</v>
      </c>
      <c r="BR35" s="43">
        <f t="shared" si="11"/>
        <v>101</v>
      </c>
      <c r="BS35" s="30">
        <f t="shared" si="12"/>
        <v>895</v>
      </c>
      <c r="CE35" s="30">
        <v>289</v>
      </c>
      <c r="CF35" s="30">
        <v>1112</v>
      </c>
      <c r="CG35" s="43">
        <v>148.4</v>
      </c>
      <c r="CH35" s="43">
        <v>42</v>
      </c>
      <c r="CI35" s="372" t="s">
        <v>1591</v>
      </c>
      <c r="CJ35" s="372" t="s">
        <v>1592</v>
      </c>
      <c r="CN35" s="498" t="s">
        <v>1593</v>
      </c>
    </row>
    <row r="36" spans="1:94" ht="16" customHeight="1" outlineLevel="1" x14ac:dyDescent="0.25">
      <c r="A36" s="51"/>
      <c r="B36" s="32"/>
      <c r="C36" t="s">
        <v>461</v>
      </c>
      <c r="D36" s="126" t="s">
        <v>457</v>
      </c>
      <c r="E36" s="126" t="s">
        <v>96</v>
      </c>
      <c r="F36" s="126" t="s">
        <v>1121</v>
      </c>
      <c r="G36" s="553">
        <v>2019</v>
      </c>
      <c r="H36" s="513">
        <v>1</v>
      </c>
      <c r="I36" s="64" t="s">
        <v>1923</v>
      </c>
      <c r="J36" s="126" t="s">
        <v>1119</v>
      </c>
      <c r="K36" s="126" t="s">
        <v>11</v>
      </c>
      <c r="M36" s="43">
        <v>14</v>
      </c>
      <c r="N36" s="30"/>
      <c r="O36" s="43">
        <v>132</v>
      </c>
      <c r="Q36" s="30">
        <f t="shared" si="8"/>
        <v>264</v>
      </c>
      <c r="S36" s="30">
        <f>Q36+S34</f>
        <v>4382</v>
      </c>
      <c r="T36" s="47">
        <f t="shared" si="3"/>
        <v>-0.64944000000000002</v>
      </c>
      <c r="V36" s="529">
        <f t="shared" ref="V36:V41" si="13">O36*$M$5</f>
        <v>35.64</v>
      </c>
      <c r="W36" s="139">
        <f t="shared" si="9"/>
        <v>0.27</v>
      </c>
      <c r="Y36" t="s">
        <v>11</v>
      </c>
      <c r="AD36" s="43" t="s">
        <v>1642</v>
      </c>
      <c r="AE36" s="268" t="s">
        <v>1643</v>
      </c>
      <c r="AF36" s="43" t="s">
        <v>1644</v>
      </c>
      <c r="AG36" s="43" t="s">
        <v>24</v>
      </c>
      <c r="AH36" s="364">
        <v>42159</v>
      </c>
      <c r="AI36" s="364">
        <v>42159</v>
      </c>
      <c r="AJ36" s="268" t="s">
        <v>1645</v>
      </c>
      <c r="AK36" s="43" t="s">
        <v>1646</v>
      </c>
      <c r="AL36" s="268" t="s">
        <v>1647</v>
      </c>
      <c r="AM36" s="268" t="s">
        <v>1647</v>
      </c>
      <c r="AN36" s="43">
        <v>0.3856</v>
      </c>
      <c r="AO36" s="30">
        <v>685</v>
      </c>
      <c r="AP36" s="30">
        <v>1710</v>
      </c>
      <c r="AQ36" s="43" t="s">
        <v>1648</v>
      </c>
      <c r="AR36" s="43" t="s">
        <v>1576</v>
      </c>
      <c r="AS36" s="43">
        <v>120</v>
      </c>
      <c r="AT36" s="43">
        <v>53</v>
      </c>
      <c r="AU36" s="43">
        <v>39</v>
      </c>
      <c r="AV36" s="43">
        <v>28</v>
      </c>
      <c r="AW36" s="43">
        <v>1472</v>
      </c>
      <c r="AX36" s="43">
        <v>97</v>
      </c>
      <c r="AY36" s="43">
        <v>224</v>
      </c>
      <c r="AZ36" s="43">
        <v>235</v>
      </c>
      <c r="BA36" s="43">
        <v>47</v>
      </c>
      <c r="BB36" s="43">
        <v>4</v>
      </c>
      <c r="BC36" s="43">
        <v>0</v>
      </c>
      <c r="BD36" s="43">
        <f t="shared" si="10"/>
        <v>607</v>
      </c>
      <c r="BE36" s="43">
        <v>0</v>
      </c>
      <c r="BF36" s="43">
        <v>14</v>
      </c>
      <c r="BG36" s="43">
        <v>18</v>
      </c>
      <c r="BH36" s="43">
        <v>14</v>
      </c>
      <c r="BI36" s="43">
        <v>8</v>
      </c>
      <c r="BJ36" s="43">
        <v>0</v>
      </c>
      <c r="BK36" s="43">
        <f t="shared" si="5"/>
        <v>54</v>
      </c>
      <c r="BL36" s="43">
        <v>0</v>
      </c>
      <c r="BM36" s="43">
        <v>9</v>
      </c>
      <c r="BN36" s="43">
        <v>11</v>
      </c>
      <c r="BO36" s="43">
        <v>4</v>
      </c>
      <c r="BP36" s="43">
        <v>0</v>
      </c>
      <c r="BQ36" s="43">
        <v>0</v>
      </c>
      <c r="BR36" s="43">
        <f t="shared" si="11"/>
        <v>24</v>
      </c>
      <c r="BS36" s="30">
        <f t="shared" si="12"/>
        <v>685</v>
      </c>
      <c r="CE36" s="30">
        <v>92</v>
      </c>
      <c r="CF36" s="30">
        <v>1223</v>
      </c>
      <c r="CG36" s="43">
        <v>213.5</v>
      </c>
      <c r="CH36" s="43">
        <v>63</v>
      </c>
      <c r="CI36" s="372" t="s">
        <v>1576</v>
      </c>
      <c r="CJ36" s="372" t="s">
        <v>1649</v>
      </c>
      <c r="CN36" s="498" t="s">
        <v>1650</v>
      </c>
    </row>
    <row r="37" spans="1:94" ht="16" customHeight="1" outlineLevel="1" x14ac:dyDescent="0.25">
      <c r="A37" s="51"/>
      <c r="B37" s="32"/>
      <c r="C37" t="s">
        <v>300</v>
      </c>
      <c r="D37" t="s">
        <v>1276</v>
      </c>
      <c r="E37" t="s">
        <v>96</v>
      </c>
      <c r="F37" t="s">
        <v>1927</v>
      </c>
      <c r="G37" s="552">
        <v>2022</v>
      </c>
      <c r="H37" s="47">
        <v>1</v>
      </c>
      <c r="I37" s="43" t="s">
        <v>1923</v>
      </c>
      <c r="J37" t="s">
        <v>1119</v>
      </c>
      <c r="K37" t="s">
        <v>1919</v>
      </c>
      <c r="L37" s="43" t="s">
        <v>2062</v>
      </c>
      <c r="M37" s="43">
        <v>30</v>
      </c>
      <c r="N37" s="30">
        <v>433</v>
      </c>
      <c r="O37" s="30">
        <v>722</v>
      </c>
      <c r="P37" s="30"/>
      <c r="Q37" s="30">
        <f t="shared" si="8"/>
        <v>1444</v>
      </c>
      <c r="S37" s="30">
        <f>Q37+S35</f>
        <v>6272</v>
      </c>
      <c r="T37" s="47">
        <f t="shared" si="3"/>
        <v>-0.49824000000000002</v>
      </c>
      <c r="V37" s="34">
        <v>161</v>
      </c>
      <c r="W37" s="139">
        <f t="shared" si="9"/>
        <v>0.22299168975069253</v>
      </c>
      <c r="X37" s="39"/>
      <c r="Y37" s="39" t="s">
        <v>517</v>
      </c>
      <c r="Z37" s="56"/>
      <c r="AA37" s="311"/>
      <c r="AB37" s="39"/>
      <c r="AD37" s="242" t="s">
        <v>1594</v>
      </c>
      <c r="AE37" s="361" t="s">
        <v>300</v>
      </c>
      <c r="AF37" s="43" t="s">
        <v>1595</v>
      </c>
      <c r="AG37" s="43" t="s">
        <v>24</v>
      </c>
      <c r="AH37" s="364">
        <v>42243</v>
      </c>
      <c r="AI37" s="364">
        <v>42243</v>
      </c>
      <c r="AJ37" s="268" t="s">
        <v>1596</v>
      </c>
      <c r="AK37" s="43" t="s">
        <v>1597</v>
      </c>
      <c r="AL37" s="268" t="s">
        <v>1598</v>
      </c>
      <c r="AM37" s="268" t="s">
        <v>1598</v>
      </c>
      <c r="AN37" s="43">
        <v>6.1</v>
      </c>
      <c r="AO37" s="30" t="s">
        <v>1576</v>
      </c>
      <c r="AP37" s="30" t="s">
        <v>1576</v>
      </c>
      <c r="AQ37" s="43" t="s">
        <v>1576</v>
      </c>
      <c r="AR37" s="43" t="s">
        <v>1576</v>
      </c>
      <c r="AS37" s="43" t="s">
        <v>1576</v>
      </c>
      <c r="AT37" s="43" t="s">
        <v>1576</v>
      </c>
      <c r="AU37" s="43" t="s">
        <v>1576</v>
      </c>
      <c r="AV37" s="43" t="s">
        <v>1576</v>
      </c>
      <c r="AW37" s="43" t="s">
        <v>1576</v>
      </c>
      <c r="AX37" s="43">
        <v>0</v>
      </c>
      <c r="AY37" s="43">
        <v>258</v>
      </c>
      <c r="AZ37" s="43">
        <v>239</v>
      </c>
      <c r="BA37" s="43">
        <v>164</v>
      </c>
      <c r="BB37" s="43">
        <v>6</v>
      </c>
      <c r="BC37" s="43">
        <v>0</v>
      </c>
      <c r="BD37" s="43">
        <f t="shared" si="10"/>
        <v>667</v>
      </c>
      <c r="BE37" s="43">
        <v>0</v>
      </c>
      <c r="BF37" s="43">
        <v>17</v>
      </c>
      <c r="BG37" s="43">
        <v>16</v>
      </c>
      <c r="BH37" s="43">
        <v>19</v>
      </c>
      <c r="BI37" s="43">
        <v>8</v>
      </c>
      <c r="BJ37" s="43">
        <v>0</v>
      </c>
      <c r="BK37" s="43">
        <f t="shared" si="5"/>
        <v>60</v>
      </c>
      <c r="BL37" s="43">
        <v>0</v>
      </c>
      <c r="BM37" s="43">
        <v>4</v>
      </c>
      <c r="BN37" s="43">
        <v>2</v>
      </c>
      <c r="BO37" s="43">
        <v>3</v>
      </c>
      <c r="BP37" s="43">
        <v>1</v>
      </c>
      <c r="BQ37" s="43">
        <v>0</v>
      </c>
      <c r="BR37" s="43">
        <f t="shared" si="11"/>
        <v>10</v>
      </c>
      <c r="BS37" s="30">
        <f t="shared" si="12"/>
        <v>737</v>
      </c>
      <c r="BU37" s="30">
        <v>9867</v>
      </c>
      <c r="BV37" s="30">
        <v>1348</v>
      </c>
      <c r="BW37" s="30">
        <v>2340</v>
      </c>
      <c r="BY37" s="30">
        <v>193</v>
      </c>
      <c r="CA37" s="30">
        <v>955</v>
      </c>
      <c r="CE37" s="30">
        <v>328</v>
      </c>
      <c r="CF37" s="30">
        <v>1420</v>
      </c>
      <c r="CG37" s="43">
        <v>110</v>
      </c>
      <c r="CH37" s="43">
        <v>30</v>
      </c>
      <c r="CI37" s="372" t="s">
        <v>1576</v>
      </c>
      <c r="CJ37" s="372" t="s">
        <v>1576</v>
      </c>
    </row>
    <row r="38" spans="1:94" ht="16" customHeight="1" outlineLevel="1" x14ac:dyDescent="0.25">
      <c r="A38" s="51"/>
      <c r="B38" s="32"/>
      <c r="C38" s="126" t="s">
        <v>1162</v>
      </c>
      <c r="D38" s="126" t="s">
        <v>460</v>
      </c>
      <c r="E38" s="126" t="s">
        <v>96</v>
      </c>
      <c r="F38" s="126" t="s">
        <v>1929</v>
      </c>
      <c r="G38" s="553">
        <v>2025</v>
      </c>
      <c r="H38" s="513">
        <v>0.9</v>
      </c>
      <c r="I38" s="64" t="s">
        <v>1930</v>
      </c>
      <c r="J38" s="126" t="s">
        <v>1919</v>
      </c>
      <c r="K38" s="126" t="s">
        <v>1934</v>
      </c>
      <c r="L38" s="64" t="s">
        <v>1161</v>
      </c>
      <c r="M38" s="62">
        <v>45</v>
      </c>
      <c r="N38" s="36"/>
      <c r="O38" s="36">
        <v>484</v>
      </c>
      <c r="P38" s="36"/>
      <c r="Q38" s="30">
        <f t="shared" si="8"/>
        <v>968</v>
      </c>
      <c r="R38" s="33"/>
      <c r="S38" s="30">
        <f>Q38+S37</f>
        <v>7240</v>
      </c>
      <c r="T38" s="47">
        <f t="shared" si="3"/>
        <v>-0.42079999999999995</v>
      </c>
      <c r="U38" s="33"/>
      <c r="V38" s="529">
        <f t="shared" si="13"/>
        <v>130.68</v>
      </c>
      <c r="W38" s="139">
        <f t="shared" si="9"/>
        <v>0.27</v>
      </c>
      <c r="Y38" t="s">
        <v>1953</v>
      </c>
      <c r="AD38" s="43" t="s">
        <v>1628</v>
      </c>
      <c r="AE38" s="268" t="s">
        <v>1629</v>
      </c>
      <c r="AF38" s="43" t="s">
        <v>1630</v>
      </c>
      <c r="AG38" s="43" t="s">
        <v>24</v>
      </c>
      <c r="AH38" s="364">
        <v>41907</v>
      </c>
      <c r="AI38" s="364">
        <v>41949</v>
      </c>
      <c r="AJ38" s="268" t="s">
        <v>1629</v>
      </c>
      <c r="AK38" s="43" t="s">
        <v>1424</v>
      </c>
      <c r="AL38" s="268" t="s">
        <v>1631</v>
      </c>
      <c r="AM38" s="43" t="s">
        <v>1576</v>
      </c>
      <c r="AN38" s="43">
        <v>0.192</v>
      </c>
      <c r="AO38" s="30">
        <v>2583</v>
      </c>
      <c r="AP38" s="30">
        <v>6869</v>
      </c>
      <c r="AQ38" s="43">
        <v>5</v>
      </c>
      <c r="AR38" s="43" t="s">
        <v>1576</v>
      </c>
      <c r="AS38" s="43" t="s">
        <v>1576</v>
      </c>
      <c r="AT38" s="43">
        <v>53.7</v>
      </c>
      <c r="AU38" s="43">
        <v>50.5</v>
      </c>
      <c r="AV38" s="43">
        <v>23.4</v>
      </c>
      <c r="AW38" s="43">
        <v>1276</v>
      </c>
      <c r="AX38" s="43">
        <v>0</v>
      </c>
      <c r="AY38" s="43">
        <v>50</v>
      </c>
      <c r="AZ38" s="43">
        <v>30</v>
      </c>
      <c r="BA38" s="43">
        <v>20</v>
      </c>
      <c r="BB38" s="43">
        <v>0</v>
      </c>
      <c r="BC38" s="43">
        <v>0</v>
      </c>
      <c r="BD38" s="43">
        <f t="shared" si="10"/>
        <v>100</v>
      </c>
      <c r="BE38" s="43">
        <v>0</v>
      </c>
      <c r="BF38" s="43">
        <v>30</v>
      </c>
      <c r="BG38" s="43">
        <v>25</v>
      </c>
      <c r="BH38" s="43">
        <v>30</v>
      </c>
      <c r="BI38" s="43">
        <v>15</v>
      </c>
      <c r="BJ38" s="43">
        <v>0</v>
      </c>
      <c r="BK38" s="43">
        <f t="shared" si="5"/>
        <v>100</v>
      </c>
      <c r="BL38" s="43">
        <v>0</v>
      </c>
      <c r="BM38" s="43">
        <v>25</v>
      </c>
      <c r="BN38" s="43">
        <v>50</v>
      </c>
      <c r="BO38" s="43">
        <v>25</v>
      </c>
      <c r="BP38" s="43">
        <v>0</v>
      </c>
      <c r="BQ38" s="43">
        <v>0</v>
      </c>
      <c r="BR38" s="43">
        <f t="shared" si="11"/>
        <v>100</v>
      </c>
      <c r="BS38" s="30">
        <f t="shared" si="12"/>
        <v>300</v>
      </c>
      <c r="CE38" s="30">
        <v>42</v>
      </c>
      <c r="CF38" s="30">
        <v>613</v>
      </c>
      <c r="CG38" s="43">
        <v>233</v>
      </c>
      <c r="CH38" s="43">
        <v>68</v>
      </c>
      <c r="CI38" s="372" t="s">
        <v>1632</v>
      </c>
      <c r="CJ38" s="372" t="s">
        <v>1633</v>
      </c>
      <c r="CN38" s="498" t="s">
        <v>1585</v>
      </c>
    </row>
    <row r="39" spans="1:94" ht="16" customHeight="1" outlineLevel="1" x14ac:dyDescent="0.25">
      <c r="A39" s="51"/>
      <c r="B39" s="32"/>
      <c r="C39" t="s">
        <v>161</v>
      </c>
      <c r="D39" s="126" t="s">
        <v>446</v>
      </c>
      <c r="E39" s="126" t="s">
        <v>1942</v>
      </c>
      <c r="F39" s="126" t="s">
        <v>1121</v>
      </c>
      <c r="G39" s="553">
        <v>2017</v>
      </c>
      <c r="H39" s="513">
        <v>1</v>
      </c>
      <c r="I39" s="64" t="s">
        <v>1923</v>
      </c>
      <c r="J39" s="126" t="s">
        <v>1119</v>
      </c>
      <c r="K39" s="126" t="s">
        <v>1119</v>
      </c>
      <c r="M39" s="43"/>
      <c r="N39" s="30"/>
      <c r="O39" s="43">
        <v>9</v>
      </c>
      <c r="Q39" s="30">
        <f t="shared" si="8"/>
        <v>18</v>
      </c>
      <c r="S39" s="30">
        <f>Q39+S38</f>
        <v>7258</v>
      </c>
      <c r="T39" s="47">
        <f t="shared" si="3"/>
        <v>-0.41935999999999996</v>
      </c>
      <c r="V39" s="529">
        <f t="shared" si="13"/>
        <v>2.4300000000000002</v>
      </c>
      <c r="W39" s="139">
        <f t="shared" si="9"/>
        <v>0.27</v>
      </c>
      <c r="Y39" t="s">
        <v>11</v>
      </c>
      <c r="BD39" s="43">
        <f t="shared" si="10"/>
        <v>0</v>
      </c>
      <c r="BK39" s="43">
        <f t="shared" si="5"/>
        <v>0</v>
      </c>
      <c r="BR39" s="43">
        <f t="shared" si="11"/>
        <v>0</v>
      </c>
      <c r="BS39" s="30">
        <f t="shared" si="12"/>
        <v>0</v>
      </c>
    </row>
    <row r="40" spans="1:94" ht="16" customHeight="1" outlineLevel="1" x14ac:dyDescent="0.25">
      <c r="A40" s="51"/>
      <c r="B40" s="31"/>
      <c r="C40" t="s">
        <v>1263</v>
      </c>
      <c r="D40" t="s">
        <v>465</v>
      </c>
      <c r="E40" t="s">
        <v>1942</v>
      </c>
      <c r="F40" t="s">
        <v>1917</v>
      </c>
      <c r="G40" s="552">
        <v>2031</v>
      </c>
      <c r="H40" s="47">
        <v>0.1</v>
      </c>
      <c r="I40" s="43" t="s">
        <v>1918</v>
      </c>
      <c r="J40" t="s">
        <v>1919</v>
      </c>
      <c r="M40" s="43" t="s">
        <v>11</v>
      </c>
      <c r="N40" s="153"/>
      <c r="O40" s="30">
        <f>3467-769</f>
        <v>2698</v>
      </c>
      <c r="P40" s="30"/>
      <c r="Q40" s="30">
        <f t="shared" si="8"/>
        <v>5396</v>
      </c>
      <c r="S40" s="30">
        <f>Q40+S47</f>
        <v>5396</v>
      </c>
      <c r="T40" s="47">
        <f t="shared" si="3"/>
        <v>-0.56831999999999994</v>
      </c>
      <c r="V40" s="529">
        <f t="shared" si="13"/>
        <v>728.46</v>
      </c>
      <c r="W40" s="139">
        <f t="shared" si="9"/>
        <v>0.27</v>
      </c>
      <c r="Y40" t="s">
        <v>1954</v>
      </c>
      <c r="AA40" s="311"/>
      <c r="AB40" s="56"/>
    </row>
    <row r="41" spans="1:94" ht="16" customHeight="1" outlineLevel="1" x14ac:dyDescent="0.25">
      <c r="A41" s="51"/>
      <c r="B41" s="31"/>
      <c r="C41" s="175" t="s">
        <v>1255</v>
      </c>
      <c r="D41" t="s">
        <v>1928</v>
      </c>
      <c r="E41" s="126" t="s">
        <v>1942</v>
      </c>
      <c r="F41" s="126" t="s">
        <v>1929</v>
      </c>
      <c r="G41" s="553">
        <v>2024</v>
      </c>
      <c r="H41" s="47">
        <v>0.5</v>
      </c>
      <c r="I41" s="64" t="s">
        <v>1923</v>
      </c>
      <c r="J41" s="126" t="s">
        <v>1919</v>
      </c>
      <c r="K41" s="126" t="s">
        <v>1919</v>
      </c>
      <c r="L41" s="43" t="s">
        <v>1254</v>
      </c>
      <c r="M41" s="43" t="s">
        <v>1253</v>
      </c>
      <c r="N41" s="60"/>
      <c r="O41" s="30">
        <v>500</v>
      </c>
      <c r="P41" s="30"/>
      <c r="Q41" s="30">
        <f t="shared" si="8"/>
        <v>1000</v>
      </c>
      <c r="S41" s="30">
        <f>Q41+S65</f>
        <v>1000</v>
      </c>
      <c r="T41" s="47">
        <f t="shared" si="3"/>
        <v>-0.92</v>
      </c>
      <c r="V41" s="529">
        <f t="shared" si="13"/>
        <v>135</v>
      </c>
      <c r="W41" s="139">
        <f t="shared" si="9"/>
        <v>0.27</v>
      </c>
      <c r="Y41" t="s">
        <v>518</v>
      </c>
      <c r="AA41" s="311"/>
      <c r="AB41" t="s">
        <v>1119</v>
      </c>
      <c r="BD41" s="43">
        <f>SUM(AX41:BC41)</f>
        <v>0</v>
      </c>
      <c r="BK41" s="43">
        <f>SUM(BE41:BJ41)</f>
        <v>0</v>
      </c>
      <c r="BR41" s="43">
        <f>SUM(BL41:BQ41)</f>
        <v>0</v>
      </c>
      <c r="BS41" s="30">
        <f>SUM(BD41+BK41+BR41)</f>
        <v>0</v>
      </c>
    </row>
    <row r="42" spans="1:94" ht="10" customHeight="1" outlineLevel="1" x14ac:dyDescent="0.25">
      <c r="A42" s="51"/>
      <c r="B42" s="32"/>
      <c r="G42" s="552"/>
      <c r="M42" s="43"/>
      <c r="N42" s="30"/>
      <c r="O42" s="30"/>
      <c r="P42" s="30"/>
      <c r="Q42" s="30"/>
      <c r="V42" s="96"/>
      <c r="W42" s="501"/>
      <c r="BD42" s="43">
        <f t="shared" ref="BD42:BD51" si="14">SUM(AX42:BC42)</f>
        <v>0</v>
      </c>
      <c r="BK42" s="43">
        <f t="shared" ref="BK42:BK50" si="15">SUM(BE42:BJ42)</f>
        <v>0</v>
      </c>
      <c r="BR42" s="43">
        <f t="shared" ref="BR42:BR51" si="16">SUM(BL42:BQ42)</f>
        <v>0</v>
      </c>
      <c r="BS42" s="30">
        <f t="shared" ref="BS42:BS50" si="17">SUM(BD42+BK42+BR42)</f>
        <v>0</v>
      </c>
    </row>
    <row r="43" spans="1:94" s="84" customFormat="1" ht="22" customHeight="1" outlineLevel="1" x14ac:dyDescent="0.25">
      <c r="A43" s="166"/>
      <c r="B43" s="517"/>
      <c r="C43" s="98" t="s">
        <v>1917</v>
      </c>
      <c r="D43" s="98"/>
      <c r="E43" s="98"/>
      <c r="G43" s="559"/>
      <c r="H43" s="515"/>
      <c r="I43" s="125"/>
      <c r="J43" s="98"/>
      <c r="K43" s="98"/>
      <c r="L43" s="125"/>
      <c r="M43" s="98"/>
      <c r="N43" s="518"/>
      <c r="O43" s="522">
        <f>SUMIF($F$21:$F$42,C43,$O$21:$O$42)</f>
        <v>4612</v>
      </c>
      <c r="P43" s="522">
        <f>SUMIF($F$21:$F$42,C43,$P$21:$P$42)</f>
        <v>0</v>
      </c>
      <c r="Q43" s="522">
        <f>SUMIF($F$21:$F$42,C43,$Q$21:$Q$42)</f>
        <v>9224</v>
      </c>
      <c r="R43" s="522">
        <f t="shared" ref="R43:T48" si="18">SUMIF($F$21:$F$42,I43,$O$21:$O$42)</f>
        <v>0</v>
      </c>
      <c r="S43" s="522">
        <f t="shared" si="18"/>
        <v>0</v>
      </c>
      <c r="T43" s="522">
        <f t="shared" si="18"/>
        <v>0</v>
      </c>
      <c r="V43" s="522">
        <f>SUMIF($F$21:$F$42,C43,$V$21:$V$42)</f>
        <v>1245.24</v>
      </c>
      <c r="W43" s="139">
        <f t="shared" ref="W43:W51" si="19">V43/O43</f>
        <v>0.27</v>
      </c>
      <c r="Y43" s="244"/>
      <c r="AD43" s="87"/>
      <c r="AE43" s="383"/>
      <c r="AF43" s="87"/>
      <c r="AG43" s="87"/>
      <c r="AH43" s="519"/>
      <c r="AI43" s="519"/>
      <c r="AJ43" s="383"/>
      <c r="AK43" s="87"/>
      <c r="AL43" s="383"/>
      <c r="AM43" s="87"/>
      <c r="AN43" s="87"/>
      <c r="AO43" s="95"/>
      <c r="AP43" s="95"/>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95"/>
      <c r="BT43" s="95"/>
      <c r="BU43" s="95"/>
      <c r="BV43" s="95"/>
      <c r="BW43" s="95"/>
      <c r="BX43" s="95"/>
      <c r="BY43" s="95"/>
      <c r="BZ43" s="95"/>
      <c r="CA43" s="95"/>
      <c r="CB43" s="95"/>
      <c r="CC43" s="95"/>
      <c r="CD43" s="95"/>
      <c r="CE43" s="95"/>
      <c r="CF43" s="95"/>
      <c r="CG43" s="87"/>
      <c r="CH43" s="87"/>
      <c r="CI43" s="520"/>
      <c r="CJ43" s="520"/>
      <c r="CK43" s="87"/>
      <c r="CL43" s="87"/>
      <c r="CM43" s="87"/>
      <c r="CN43" s="521"/>
      <c r="CO43" s="87"/>
      <c r="CP43" s="87"/>
    </row>
    <row r="44" spans="1:94" s="84" customFormat="1" ht="22" customHeight="1" outlineLevel="1" x14ac:dyDescent="0.25">
      <c r="A44" s="166"/>
      <c r="B44" s="517"/>
      <c r="C44" s="98" t="s">
        <v>1929</v>
      </c>
      <c r="D44" s="98"/>
      <c r="E44" s="98"/>
      <c r="G44" s="559"/>
      <c r="H44" s="515"/>
      <c r="I44" s="125"/>
      <c r="J44" s="98"/>
      <c r="K44" s="98"/>
      <c r="L44" s="125"/>
      <c r="M44" s="98"/>
      <c r="N44" s="518"/>
      <c r="O44" s="36">
        <f>SUMIF($F$21:$F$42,C44,$O$21:$O$42)</f>
        <v>984</v>
      </c>
      <c r="P44" s="36">
        <f>SUMIF($F$21:$F$42,C44,$P$21:$P$42)</f>
        <v>0</v>
      </c>
      <c r="Q44" s="36">
        <f>SUMIF($F$21:$F$42,C44,$Q$21:$Q$42)</f>
        <v>1968</v>
      </c>
      <c r="R44" s="36">
        <f t="shared" si="18"/>
        <v>0</v>
      </c>
      <c r="S44" s="36">
        <f t="shared" si="18"/>
        <v>0</v>
      </c>
      <c r="T44" s="36">
        <f t="shared" si="18"/>
        <v>0</v>
      </c>
      <c r="V44" s="36">
        <f>SUMIF($F$21:$F$42,C44,$V$21:$V$42)</f>
        <v>265.68</v>
      </c>
      <c r="W44" s="139">
        <f t="shared" si="19"/>
        <v>0.27</v>
      </c>
      <c r="Y44" s="244"/>
      <c r="AD44" s="87"/>
      <c r="AE44" s="383"/>
      <c r="AF44" s="87"/>
      <c r="AG44" s="87"/>
      <c r="AH44" s="519"/>
      <c r="AI44" s="519"/>
      <c r="AJ44" s="383"/>
      <c r="AK44" s="87"/>
      <c r="AL44" s="383"/>
      <c r="AM44" s="87"/>
      <c r="AN44" s="87"/>
      <c r="AO44" s="95"/>
      <c r="AP44" s="95"/>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95"/>
      <c r="BT44" s="95"/>
      <c r="BU44" s="95"/>
      <c r="BV44" s="95"/>
      <c r="BW44" s="95"/>
      <c r="BX44" s="95"/>
      <c r="BY44" s="95"/>
      <c r="BZ44" s="95"/>
      <c r="CA44" s="95"/>
      <c r="CB44" s="95"/>
      <c r="CC44" s="95"/>
      <c r="CD44" s="95"/>
      <c r="CE44" s="95"/>
      <c r="CF44" s="95"/>
      <c r="CG44" s="87"/>
      <c r="CH44" s="87"/>
      <c r="CI44" s="520"/>
      <c r="CJ44" s="520"/>
      <c r="CK44" s="87"/>
      <c r="CL44" s="87"/>
      <c r="CM44" s="87"/>
      <c r="CN44" s="521"/>
      <c r="CO44" s="87"/>
      <c r="CP44" s="87"/>
    </row>
    <row r="45" spans="1:94" s="84" customFormat="1" ht="22" customHeight="1" outlineLevel="1" x14ac:dyDescent="0.25">
      <c r="A45" s="166"/>
      <c r="B45" s="517"/>
      <c r="C45" s="98" t="s">
        <v>412</v>
      </c>
      <c r="D45" s="98"/>
      <c r="E45" s="98"/>
      <c r="G45" s="559"/>
      <c r="H45" s="515"/>
      <c r="I45" s="125"/>
      <c r="J45" s="98"/>
      <c r="K45" s="98"/>
      <c r="L45" s="125"/>
      <c r="M45" s="98"/>
      <c r="N45" s="518"/>
      <c r="O45" s="36">
        <f>SUMIF($F$21:$F$42,C45,$O$21:$O$42)</f>
        <v>2965</v>
      </c>
      <c r="P45" s="36">
        <f>SUMIF($F$21:$F$42,C45,$P$21:$P$42)</f>
        <v>273</v>
      </c>
      <c r="Q45" s="36">
        <f>SUMIF($F$21:$F$42,C45,$Q$21:$Q$42)</f>
        <v>5930</v>
      </c>
      <c r="R45" s="36">
        <f t="shared" si="18"/>
        <v>0</v>
      </c>
      <c r="S45" s="36">
        <f t="shared" si="18"/>
        <v>0</v>
      </c>
      <c r="T45" s="36">
        <f t="shared" si="18"/>
        <v>0</v>
      </c>
      <c r="V45" s="36">
        <f>SUMIF($F$21:$F$42,C45,$V$21:$V$42)</f>
        <v>854.62</v>
      </c>
      <c r="W45" s="139">
        <f t="shared" si="19"/>
        <v>0.28823608768971332</v>
      </c>
      <c r="Y45" s="244"/>
      <c r="AD45" s="87"/>
      <c r="AE45" s="383"/>
      <c r="AF45" s="87"/>
      <c r="AG45" s="87"/>
      <c r="AH45" s="519"/>
      <c r="AI45" s="519"/>
      <c r="AJ45" s="383"/>
      <c r="AK45" s="87"/>
      <c r="AL45" s="383"/>
      <c r="AM45" s="87"/>
      <c r="AN45" s="87"/>
      <c r="AO45" s="95"/>
      <c r="AP45" s="95"/>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95"/>
      <c r="BT45" s="95"/>
      <c r="BU45" s="95"/>
      <c r="BV45" s="95"/>
      <c r="BW45" s="95"/>
      <c r="BX45" s="95"/>
      <c r="BY45" s="95"/>
      <c r="BZ45" s="95"/>
      <c r="CA45" s="95"/>
      <c r="CB45" s="95"/>
      <c r="CC45" s="95"/>
      <c r="CD45" s="95"/>
      <c r="CE45" s="95"/>
      <c r="CF45" s="95"/>
      <c r="CG45" s="87"/>
      <c r="CH45" s="87"/>
      <c r="CI45" s="520"/>
      <c r="CJ45" s="520"/>
      <c r="CK45" s="87"/>
      <c r="CL45" s="87"/>
      <c r="CM45" s="87"/>
      <c r="CN45" s="521"/>
      <c r="CO45" s="87"/>
      <c r="CP45" s="87"/>
    </row>
    <row r="46" spans="1:94" s="84" customFormat="1" ht="22" customHeight="1" outlineLevel="1" x14ac:dyDescent="0.25">
      <c r="A46" s="166"/>
      <c r="B46" s="517"/>
      <c r="C46" s="98" t="s">
        <v>1927</v>
      </c>
      <c r="D46" s="98"/>
      <c r="E46" s="98"/>
      <c r="G46" s="559"/>
      <c r="H46" s="515"/>
      <c r="I46" s="125"/>
      <c r="J46" s="98"/>
      <c r="K46" s="98"/>
      <c r="L46" s="125"/>
      <c r="M46" s="98"/>
      <c r="N46" s="518"/>
      <c r="O46" s="36">
        <f>SUMIF($F$21:$F$42,C46,$O$21:$O$42)</f>
        <v>1583</v>
      </c>
      <c r="P46" s="36">
        <f>SUMIF($F$21:$F$42,C46,$P$21:$P$42)</f>
        <v>0</v>
      </c>
      <c r="Q46" s="36">
        <f>SUMIF($F$21:$F$42,C46,$Q$21:$Q$42)</f>
        <v>3166</v>
      </c>
      <c r="R46" s="36">
        <f t="shared" si="18"/>
        <v>0</v>
      </c>
      <c r="S46" s="36">
        <f t="shared" si="18"/>
        <v>0</v>
      </c>
      <c r="T46" s="36">
        <f t="shared" si="18"/>
        <v>0</v>
      </c>
      <c r="V46" s="36">
        <f>SUMIF($F$21:$F$42,C46,$V$21:$V$42)</f>
        <v>262</v>
      </c>
      <c r="W46" s="139">
        <f t="shared" si="19"/>
        <v>0.1655085281111813</v>
      </c>
      <c r="Y46" s="244"/>
      <c r="AD46" s="87"/>
      <c r="AE46" s="383"/>
      <c r="AF46" s="87"/>
      <c r="AG46" s="87"/>
      <c r="AH46" s="519"/>
      <c r="AI46" s="519"/>
      <c r="AJ46" s="383"/>
      <c r="AK46" s="87"/>
      <c r="AL46" s="383"/>
      <c r="AM46" s="87"/>
      <c r="AN46" s="87"/>
      <c r="AO46" s="95"/>
      <c r="AP46" s="95"/>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95"/>
      <c r="BT46" s="95"/>
      <c r="BU46" s="95"/>
      <c r="BV46" s="95"/>
      <c r="BW46" s="95"/>
      <c r="BX46" s="95"/>
      <c r="BY46" s="95"/>
      <c r="BZ46" s="95"/>
      <c r="CA46" s="95"/>
      <c r="CB46" s="95"/>
      <c r="CC46" s="95"/>
      <c r="CD46" s="95"/>
      <c r="CE46" s="95"/>
      <c r="CF46" s="95"/>
      <c r="CG46" s="87"/>
      <c r="CH46" s="87"/>
      <c r="CI46" s="520"/>
      <c r="CJ46" s="520"/>
      <c r="CK46" s="87"/>
      <c r="CL46" s="87"/>
      <c r="CM46" s="87"/>
      <c r="CN46" s="521"/>
      <c r="CO46" s="87"/>
      <c r="CP46" s="87"/>
    </row>
    <row r="47" spans="1:94" s="84" customFormat="1" ht="22" customHeight="1" outlineLevel="1" x14ac:dyDescent="0.25">
      <c r="A47" s="166"/>
      <c r="B47" s="517"/>
      <c r="C47" s="98" t="s">
        <v>1121</v>
      </c>
      <c r="D47" s="98"/>
      <c r="E47" s="98"/>
      <c r="G47" s="559"/>
      <c r="H47" s="515"/>
      <c r="I47" s="125"/>
      <c r="J47" s="98"/>
      <c r="K47" s="98"/>
      <c r="L47" s="125"/>
      <c r="M47" s="98"/>
      <c r="N47" s="518"/>
      <c r="O47" s="36">
        <f>SUMIF($F$21:$F$42,C47,$O$21:$O$42)</f>
        <v>4245</v>
      </c>
      <c r="P47" s="36">
        <f>SUMIF($F$21:$F$42,C47,$P$21:$P$42)</f>
        <v>305</v>
      </c>
      <c r="Q47" s="36">
        <f>SUMIF($F$21:$F$42,C47,$Q$21:$Q$42)</f>
        <v>8490</v>
      </c>
      <c r="R47" s="36">
        <f t="shared" si="18"/>
        <v>0</v>
      </c>
      <c r="S47" s="36">
        <f t="shared" si="18"/>
        <v>0</v>
      </c>
      <c r="T47" s="36">
        <f t="shared" si="18"/>
        <v>0</v>
      </c>
      <c r="V47" s="36">
        <f>SUMIF($F$21:$F$42,C47,$V$21:$V$42)</f>
        <v>732.06999999999994</v>
      </c>
      <c r="W47" s="139">
        <f t="shared" si="19"/>
        <v>0.17245465253239103</v>
      </c>
      <c r="Y47" s="244"/>
      <c r="AD47" s="87"/>
      <c r="AE47" s="383"/>
      <c r="AF47" s="87"/>
      <c r="AG47" s="87"/>
      <c r="AH47" s="519"/>
      <c r="AI47" s="519"/>
      <c r="AJ47" s="383"/>
      <c r="AK47" s="87"/>
      <c r="AL47" s="383"/>
      <c r="AM47" s="87"/>
      <c r="AN47" s="87"/>
      <c r="AO47" s="95"/>
      <c r="AP47" s="95"/>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95"/>
      <c r="BT47" s="95"/>
      <c r="BU47" s="95"/>
      <c r="BV47" s="95"/>
      <c r="BW47" s="95"/>
      <c r="BX47" s="95"/>
      <c r="BY47" s="95"/>
      <c r="BZ47" s="95"/>
      <c r="CA47" s="95"/>
      <c r="CB47" s="95"/>
      <c r="CC47" s="95"/>
      <c r="CD47" s="95"/>
      <c r="CE47" s="95"/>
      <c r="CF47" s="95"/>
      <c r="CG47" s="87"/>
      <c r="CH47" s="87"/>
      <c r="CI47" s="520"/>
      <c r="CJ47" s="520"/>
      <c r="CK47" s="87"/>
      <c r="CL47" s="87"/>
      <c r="CM47" s="87"/>
      <c r="CN47" s="521"/>
      <c r="CO47" s="87"/>
      <c r="CP47" s="87"/>
    </row>
    <row r="48" spans="1:94" s="84" customFormat="1" ht="22" customHeight="1" outlineLevel="1" x14ac:dyDescent="0.25">
      <c r="A48" s="166"/>
      <c r="B48" s="517"/>
      <c r="C48" s="98" t="s">
        <v>387</v>
      </c>
      <c r="D48" s="98"/>
      <c r="E48" s="98"/>
      <c r="G48" s="559"/>
      <c r="H48" s="515"/>
      <c r="I48" s="125"/>
      <c r="J48" s="98"/>
      <c r="K48" s="98"/>
      <c r="L48" s="125"/>
      <c r="M48" s="98"/>
      <c r="N48" s="518"/>
      <c r="O48" s="36">
        <f>SUMIF($F$11:$F$42,C48,$O$11:$O$42)</f>
        <v>1796.5</v>
      </c>
      <c r="P48" s="36">
        <f>SUMIF($F$11:$F$42,C48,$P$11:$P$42)</f>
        <v>130</v>
      </c>
      <c r="Q48" s="36">
        <f>SUMIF($F$11:$F$42,C48,$Q$11:$Q$42)</f>
        <v>3593</v>
      </c>
      <c r="R48" s="36">
        <f t="shared" si="18"/>
        <v>0</v>
      </c>
      <c r="S48" s="36">
        <f t="shared" si="18"/>
        <v>0</v>
      </c>
      <c r="T48" s="36">
        <f t="shared" si="18"/>
        <v>0</v>
      </c>
      <c r="V48" s="36">
        <f>SUMIF($F$11:$F$42,C48,$V$11:$V$42)</f>
        <v>505.63500000000005</v>
      </c>
      <c r="W48" s="139">
        <f t="shared" si="19"/>
        <v>0.28145560812691345</v>
      </c>
      <c r="Y48" s="244"/>
      <c r="AD48" s="87"/>
      <c r="AE48" s="383"/>
      <c r="AF48" s="87"/>
      <c r="AG48" s="87"/>
      <c r="AH48" s="519"/>
      <c r="AI48" s="519"/>
      <c r="AJ48" s="383"/>
      <c r="AK48" s="87"/>
      <c r="AL48" s="383"/>
      <c r="AM48" s="87"/>
      <c r="AN48" s="87"/>
      <c r="AO48" s="95"/>
      <c r="AP48" s="95"/>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95"/>
      <c r="BT48" s="95"/>
      <c r="BU48" s="95"/>
      <c r="BV48" s="95"/>
      <c r="BW48" s="95"/>
      <c r="BX48" s="95"/>
      <c r="BY48" s="95"/>
      <c r="BZ48" s="95"/>
      <c r="CA48" s="95"/>
      <c r="CB48" s="95"/>
      <c r="CC48" s="95"/>
      <c r="CD48" s="95"/>
      <c r="CE48" s="95"/>
      <c r="CF48" s="95"/>
      <c r="CG48" s="87"/>
      <c r="CH48" s="87"/>
      <c r="CI48" s="520"/>
      <c r="CJ48" s="520"/>
      <c r="CK48" s="87"/>
      <c r="CL48" s="87"/>
      <c r="CM48" s="87"/>
      <c r="CN48" s="521"/>
      <c r="CO48" s="87"/>
      <c r="CP48" s="87"/>
    </row>
    <row r="49" spans="1:94" s="84" customFormat="1" ht="21" outlineLevel="1" x14ac:dyDescent="0.25">
      <c r="A49" s="166"/>
      <c r="B49" s="517"/>
      <c r="C49" s="98"/>
      <c r="D49" s="98"/>
      <c r="E49" s="98"/>
      <c r="F49" s="98"/>
      <c r="G49" s="559"/>
      <c r="H49" s="515"/>
      <c r="I49" s="125"/>
      <c r="J49" s="98"/>
      <c r="K49" s="98"/>
      <c r="L49" s="125"/>
      <c r="M49" s="98"/>
      <c r="N49" s="518"/>
      <c r="O49" s="53"/>
      <c r="P49" s="53"/>
      <c r="Q49" s="53"/>
      <c r="S49" s="53"/>
      <c r="T49" s="267"/>
      <c r="V49" s="53"/>
      <c r="W49" s="139"/>
      <c r="Y49" s="244"/>
      <c r="AD49" s="87"/>
      <c r="AE49" s="383"/>
      <c r="AF49" s="87"/>
      <c r="AG49" s="87"/>
      <c r="AH49" s="519"/>
      <c r="AI49" s="519"/>
      <c r="AJ49" s="383"/>
      <c r="AK49" s="87"/>
      <c r="AL49" s="383"/>
      <c r="AM49" s="87"/>
      <c r="AN49" s="87"/>
      <c r="AO49" s="95"/>
      <c r="AP49" s="95"/>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95"/>
      <c r="BT49" s="95"/>
      <c r="BU49" s="95"/>
      <c r="BV49" s="95"/>
      <c r="BW49" s="95"/>
      <c r="BX49" s="95"/>
      <c r="BY49" s="95"/>
      <c r="BZ49" s="95"/>
      <c r="CA49" s="95"/>
      <c r="CB49" s="95"/>
      <c r="CC49" s="95"/>
      <c r="CD49" s="95"/>
      <c r="CE49" s="95"/>
      <c r="CF49" s="95"/>
      <c r="CG49" s="87"/>
      <c r="CH49" s="87"/>
      <c r="CI49" s="520"/>
      <c r="CJ49" s="520"/>
      <c r="CK49" s="87"/>
      <c r="CL49" s="87"/>
      <c r="CM49" s="87"/>
      <c r="CN49" s="521"/>
      <c r="CO49" s="87"/>
      <c r="CP49" s="87"/>
    </row>
    <row r="50" spans="1:94" ht="21" outlineLevel="1" x14ac:dyDescent="0.25">
      <c r="A50" s="51"/>
      <c r="B50" s="32"/>
      <c r="C50" s="31" t="s">
        <v>1993</v>
      </c>
      <c r="D50" s="31"/>
      <c r="E50" s="31"/>
      <c r="F50" s="31"/>
      <c r="G50" s="560"/>
      <c r="H50" s="507"/>
      <c r="I50" s="241"/>
      <c r="J50" s="31"/>
      <c r="K50" s="31"/>
      <c r="L50" s="241"/>
      <c r="M50" s="31"/>
      <c r="N50" s="137"/>
      <c r="O50" s="266">
        <f>SUM(O43:O48)</f>
        <v>16185.5</v>
      </c>
      <c r="P50" s="266">
        <f t="shared" ref="P50:V50" si="20">SUM(P43:P48)</f>
        <v>708</v>
      </c>
      <c r="Q50" s="266">
        <f t="shared" si="20"/>
        <v>32371</v>
      </c>
      <c r="R50" s="266">
        <f t="shared" si="20"/>
        <v>0</v>
      </c>
      <c r="S50" s="266">
        <f t="shared" si="20"/>
        <v>0</v>
      </c>
      <c r="T50" s="266">
        <f t="shared" si="20"/>
        <v>0</v>
      </c>
      <c r="U50" s="84"/>
      <c r="V50" s="266">
        <f t="shared" si="20"/>
        <v>3865.2449999999999</v>
      </c>
      <c r="W50" s="530">
        <f t="shared" si="19"/>
        <v>0.23880911927342374</v>
      </c>
      <c r="Y50" s="139"/>
      <c r="BD50" s="43">
        <f t="shared" si="14"/>
        <v>0</v>
      </c>
      <c r="BK50" s="43">
        <f t="shared" si="15"/>
        <v>0</v>
      </c>
      <c r="BR50" s="43">
        <f t="shared" si="16"/>
        <v>0</v>
      </c>
      <c r="BS50" s="30">
        <f t="shared" si="17"/>
        <v>0</v>
      </c>
    </row>
    <row r="51" spans="1:94" ht="22" outlineLevel="1" thickBot="1" x14ac:dyDescent="0.3">
      <c r="A51" s="51"/>
      <c r="B51" s="31" t="s">
        <v>202</v>
      </c>
      <c r="G51" s="552"/>
      <c r="N51" s="60"/>
      <c r="O51" s="50">
        <f t="shared" ref="O51:T51" si="21">O50+O10</f>
        <v>22351.5</v>
      </c>
      <c r="P51" s="50">
        <f t="shared" si="21"/>
        <v>1875</v>
      </c>
      <c r="Q51" s="50">
        <f t="shared" si="21"/>
        <v>44871</v>
      </c>
      <c r="R51" s="50">
        <f t="shared" si="21"/>
        <v>2.0272461887771649</v>
      </c>
      <c r="S51" s="50" t="e">
        <f t="shared" si="21"/>
        <v>#VALUE!</v>
      </c>
      <c r="T51" s="50">
        <f t="shared" si="21"/>
        <v>0</v>
      </c>
      <c r="U51" s="84"/>
      <c r="V51" s="50">
        <f>V50+V10</f>
        <v>5836.2449999999999</v>
      </c>
      <c r="W51" s="537">
        <f t="shared" si="19"/>
        <v>0.26111200590564393</v>
      </c>
      <c r="BD51" s="43">
        <f t="shared" si="14"/>
        <v>0</v>
      </c>
      <c r="BK51" s="43">
        <f t="shared" ref="BK51" si="22">SUM(BE51:BJ51)</f>
        <v>0</v>
      </c>
      <c r="BR51" s="43">
        <f t="shared" si="16"/>
        <v>0</v>
      </c>
      <c r="BS51" s="30">
        <f>SUM(BD51+BK51+BR51)</f>
        <v>0</v>
      </c>
    </row>
    <row r="52" spans="1:94" ht="6" customHeight="1" outlineLevel="1" thickTop="1" x14ac:dyDescent="0.25">
      <c r="A52" s="51"/>
      <c r="B52" s="32"/>
      <c r="G52" s="552"/>
      <c r="N52" s="60"/>
      <c r="O52" s="30"/>
      <c r="P52" s="30"/>
      <c r="Q52" s="30"/>
      <c r="U52" s="84"/>
      <c r="V52" s="44"/>
      <c r="AD52" s="43" t="s">
        <v>1660</v>
      </c>
      <c r="AE52" s="268" t="s">
        <v>1661</v>
      </c>
      <c r="AF52" s="43" t="s">
        <v>1662</v>
      </c>
      <c r="AG52" s="43" t="s">
        <v>314</v>
      </c>
      <c r="AH52" s="433">
        <v>39918</v>
      </c>
      <c r="AI52" s="433">
        <v>39918</v>
      </c>
      <c r="AJ52" s="268" t="s">
        <v>1663</v>
      </c>
      <c r="AK52" s="43" t="s">
        <v>1664</v>
      </c>
      <c r="AL52" s="268" t="s">
        <v>1665</v>
      </c>
      <c r="AM52" s="268" t="s">
        <v>1665</v>
      </c>
      <c r="CH52" s="43">
        <v>8</v>
      </c>
      <c r="CN52" s="425" t="s">
        <v>1666</v>
      </c>
    </row>
    <row r="53" spans="1:94" ht="21" outlineLevel="1" x14ac:dyDescent="0.25">
      <c r="A53" s="51"/>
      <c r="B53" s="68" t="s">
        <v>261</v>
      </c>
      <c r="G53" s="552"/>
      <c r="N53" s="60"/>
      <c r="O53" s="30"/>
      <c r="P53" s="30"/>
      <c r="Q53" s="30"/>
      <c r="V53" s="44"/>
    </row>
    <row r="54" spans="1:94" ht="48" x14ac:dyDescent="0.2">
      <c r="G54" s="552"/>
      <c r="L54" s="154" t="s">
        <v>1984</v>
      </c>
      <c r="M54" s="154" t="s">
        <v>1988</v>
      </c>
    </row>
    <row r="55" spans="1:94" ht="16" customHeight="1" outlineLevel="1" x14ac:dyDescent="0.25">
      <c r="A55" s="51"/>
      <c r="B55" s="31"/>
      <c r="C55" t="s">
        <v>485</v>
      </c>
      <c r="D55" t="s">
        <v>1985</v>
      </c>
      <c r="E55" t="s">
        <v>96</v>
      </c>
      <c r="F55" t="s">
        <v>1937</v>
      </c>
      <c r="G55" s="552">
        <v>2031</v>
      </c>
      <c r="H55" s="47">
        <v>0.2</v>
      </c>
      <c r="I55" s="43" t="s">
        <v>1923</v>
      </c>
      <c r="J55" t="s">
        <v>1919</v>
      </c>
      <c r="K55" t="s">
        <v>1919</v>
      </c>
      <c r="L55" s="43" t="s">
        <v>1119</v>
      </c>
      <c r="M55" s="43" t="s">
        <v>1919</v>
      </c>
      <c r="N55" s="60"/>
      <c r="O55" s="30">
        <v>400</v>
      </c>
      <c r="P55" s="30"/>
      <c r="Q55" s="30">
        <f>O55*$M$4</f>
        <v>800</v>
      </c>
      <c r="S55" s="30" t="e">
        <f>Q55+#REF!</f>
        <v>#REF!</v>
      </c>
      <c r="T55" s="47" t="e">
        <f>S55/$Q$10-1</f>
        <v>#REF!</v>
      </c>
      <c r="V55" s="529">
        <f t="shared" ref="V55:V59" si="23">O55*$M$5</f>
        <v>108</v>
      </c>
      <c r="W55" s="139">
        <f t="shared" ref="W55:W62" si="24">V55/O55</f>
        <v>0.27</v>
      </c>
    </row>
    <row r="56" spans="1:94" ht="16" customHeight="1" outlineLevel="1" x14ac:dyDescent="0.25">
      <c r="A56" s="51"/>
      <c r="B56" s="31"/>
      <c r="C56" t="s">
        <v>2033</v>
      </c>
      <c r="D56" t="s">
        <v>2034</v>
      </c>
      <c r="E56" t="s">
        <v>196</v>
      </c>
      <c r="F56" t="s">
        <v>1937</v>
      </c>
      <c r="G56" s="552">
        <v>2031</v>
      </c>
      <c r="H56" s="47">
        <v>0.2</v>
      </c>
      <c r="I56" s="43" t="s">
        <v>1923</v>
      </c>
      <c r="J56" t="s">
        <v>1919</v>
      </c>
      <c r="K56" t="s">
        <v>1919</v>
      </c>
      <c r="L56" s="43" t="s">
        <v>1919</v>
      </c>
      <c r="M56" s="43" t="s">
        <v>1119</v>
      </c>
      <c r="N56" s="60"/>
      <c r="O56" s="30">
        <v>300</v>
      </c>
      <c r="P56" s="30"/>
      <c r="Q56" s="30">
        <f>O56*$M$4</f>
        <v>600</v>
      </c>
      <c r="S56" s="30" t="e">
        <f>Q56+#REF!</f>
        <v>#REF!</v>
      </c>
      <c r="T56" s="47" t="e">
        <f>S56/$Q$10-1</f>
        <v>#REF!</v>
      </c>
      <c r="V56" s="529">
        <f t="shared" ref="V56" si="25">O56*$M$5</f>
        <v>81</v>
      </c>
      <c r="W56" s="139">
        <f t="shared" si="24"/>
        <v>0.27</v>
      </c>
    </row>
    <row r="57" spans="1:94" ht="16" customHeight="1" outlineLevel="1" x14ac:dyDescent="0.25">
      <c r="A57" s="51"/>
      <c r="B57" s="31"/>
      <c r="C57" t="s">
        <v>486</v>
      </c>
      <c r="D57" t="s">
        <v>1500</v>
      </c>
      <c r="E57" t="s">
        <v>196</v>
      </c>
      <c r="F57" t="s">
        <v>1937</v>
      </c>
      <c r="G57" s="552">
        <v>2031</v>
      </c>
      <c r="H57" s="47">
        <v>0.8</v>
      </c>
      <c r="I57" s="43" t="s">
        <v>1923</v>
      </c>
      <c r="J57" t="s">
        <v>1119</v>
      </c>
      <c r="K57" t="s">
        <v>1919</v>
      </c>
      <c r="L57" s="43" t="s">
        <v>1119</v>
      </c>
      <c r="M57" s="43" t="s">
        <v>1919</v>
      </c>
      <c r="N57" s="60"/>
      <c r="O57" s="30">
        <v>2000</v>
      </c>
      <c r="P57" s="30"/>
      <c r="Q57" s="30">
        <f>O57*$M$4</f>
        <v>4000</v>
      </c>
      <c r="S57" s="30"/>
      <c r="T57" s="47"/>
      <c r="V57" s="529">
        <f t="shared" si="23"/>
        <v>540</v>
      </c>
      <c r="W57" s="139">
        <f t="shared" si="24"/>
        <v>0.27</v>
      </c>
    </row>
    <row r="58" spans="1:94" ht="16" customHeight="1" outlineLevel="1" x14ac:dyDescent="0.25">
      <c r="A58" s="51"/>
      <c r="B58" s="31"/>
      <c r="C58" s="175" t="s">
        <v>1987</v>
      </c>
      <c r="D58" t="s">
        <v>1986</v>
      </c>
      <c r="E58" t="s">
        <v>196</v>
      </c>
      <c r="F58" t="s">
        <v>1937</v>
      </c>
      <c r="G58" s="552">
        <v>2031</v>
      </c>
      <c r="H58" s="47">
        <v>0.2</v>
      </c>
      <c r="I58" s="43" t="s">
        <v>1923</v>
      </c>
      <c r="J58" t="s">
        <v>1919</v>
      </c>
      <c r="K58" t="s">
        <v>1919</v>
      </c>
      <c r="L58" s="43" t="s">
        <v>1119</v>
      </c>
      <c r="M58" s="43" t="s">
        <v>1119</v>
      </c>
      <c r="N58" s="60"/>
      <c r="O58" s="30">
        <v>400</v>
      </c>
      <c r="P58" s="30"/>
      <c r="Q58" s="30">
        <f>O58*$M$4</f>
        <v>800</v>
      </c>
      <c r="S58" s="30"/>
      <c r="T58" s="47"/>
      <c r="V58" s="529">
        <f t="shared" si="23"/>
        <v>108</v>
      </c>
      <c r="W58" s="139">
        <f t="shared" si="24"/>
        <v>0.27</v>
      </c>
      <c r="AB58" t="s">
        <v>1119</v>
      </c>
    </row>
    <row r="59" spans="1:94" ht="16" customHeight="1" outlineLevel="1" x14ac:dyDescent="0.25">
      <c r="A59" s="51"/>
      <c r="B59" s="31"/>
      <c r="C59" s="175" t="s">
        <v>1983</v>
      </c>
      <c r="D59" t="s">
        <v>463</v>
      </c>
      <c r="E59" t="s">
        <v>196</v>
      </c>
      <c r="F59" t="s">
        <v>1937</v>
      </c>
      <c r="G59" s="552">
        <v>2031</v>
      </c>
      <c r="H59" s="47">
        <v>0.2</v>
      </c>
      <c r="I59" s="43" t="s">
        <v>1923</v>
      </c>
      <c r="J59" t="s">
        <v>1919</v>
      </c>
      <c r="K59" t="s">
        <v>1919</v>
      </c>
      <c r="L59" s="43" t="s">
        <v>1119</v>
      </c>
      <c r="M59" s="43" t="s">
        <v>1119</v>
      </c>
      <c r="N59" s="60"/>
      <c r="O59" s="30">
        <v>700</v>
      </c>
      <c r="P59" s="30"/>
      <c r="Q59" s="30">
        <f>O59*$M$4</f>
        <v>1400</v>
      </c>
      <c r="S59" s="30">
        <f>Q59+S42</f>
        <v>1400</v>
      </c>
      <c r="T59" s="47">
        <f>S59/$Q$10-1</f>
        <v>-0.88800000000000001</v>
      </c>
      <c r="V59" s="529">
        <f t="shared" si="23"/>
        <v>189</v>
      </c>
      <c r="W59" s="139">
        <f t="shared" si="24"/>
        <v>0.27</v>
      </c>
      <c r="AB59" t="s">
        <v>1119</v>
      </c>
    </row>
    <row r="60" spans="1:94" ht="6" customHeight="1" outlineLevel="1" x14ac:dyDescent="0.25">
      <c r="A60" s="51"/>
      <c r="G60" s="552"/>
      <c r="N60" s="60"/>
      <c r="O60" s="30"/>
      <c r="P60" s="30"/>
      <c r="Q60" s="30"/>
      <c r="V60" s="44"/>
    </row>
    <row r="61" spans="1:94" ht="21" outlineLevel="1" x14ac:dyDescent="0.25">
      <c r="A61" s="51"/>
      <c r="C61" s="31" t="s">
        <v>210</v>
      </c>
      <c r="D61" s="31"/>
      <c r="E61" s="31"/>
      <c r="F61" s="31"/>
      <c r="G61" s="560"/>
      <c r="H61" s="507"/>
      <c r="I61" s="241"/>
      <c r="J61" s="31"/>
      <c r="K61" s="31"/>
      <c r="L61" s="241"/>
      <c r="M61" s="31"/>
      <c r="N61" s="137"/>
      <c r="O61" s="46">
        <f>SUM(O55:O60)</f>
        <v>3800</v>
      </c>
      <c r="P61" s="46">
        <f>SUM(P55:P60)</f>
        <v>0</v>
      </c>
      <c r="Q61" s="46">
        <f>SUM(Q55:Q59)</f>
        <v>7600</v>
      </c>
      <c r="S61" s="46" t="e">
        <f>SUM(S55:S59)</f>
        <v>#REF!</v>
      </c>
      <c r="T61" s="46" t="e">
        <f>SUM(T55:T59)</f>
        <v>#REF!</v>
      </c>
      <c r="V61" s="46">
        <f>SUM(V55:V59)</f>
        <v>1026</v>
      </c>
      <c r="W61" s="530">
        <f t="shared" si="24"/>
        <v>0.27</v>
      </c>
    </row>
    <row r="62" spans="1:94" ht="22" outlineLevel="1" thickBot="1" x14ac:dyDescent="0.3">
      <c r="A62" s="51"/>
      <c r="B62" s="31" t="s">
        <v>202</v>
      </c>
      <c r="G62" s="552"/>
      <c r="N62" s="60"/>
      <c r="O62" s="50">
        <f>O61+O51</f>
        <v>26151.5</v>
      </c>
      <c r="P62" s="50">
        <f>P61+P51</f>
        <v>1875</v>
      </c>
      <c r="Q62" s="50">
        <f>Q61+Q51</f>
        <v>52471</v>
      </c>
      <c r="S62" s="50" t="e">
        <f>S61+S51</f>
        <v>#REF!</v>
      </c>
      <c r="T62" s="50" t="e">
        <f>T61+T51</f>
        <v>#REF!</v>
      </c>
      <c r="V62" s="50">
        <f>V61+V51</f>
        <v>6862.2449999999999</v>
      </c>
      <c r="W62" s="537">
        <f t="shared" si="24"/>
        <v>0.26240349501940613</v>
      </c>
    </row>
    <row r="63" spans="1:94" ht="22" outlineLevel="1" thickTop="1" x14ac:dyDescent="0.25">
      <c r="A63" s="51"/>
      <c r="G63" s="552"/>
      <c r="N63" s="60"/>
      <c r="O63" s="30"/>
      <c r="P63" s="30"/>
      <c r="Q63" s="30"/>
      <c r="V63" s="43"/>
    </row>
    <row r="64" spans="1:94" ht="21" x14ac:dyDescent="0.25">
      <c r="A64" s="49" t="s">
        <v>200</v>
      </c>
      <c r="G64" s="552"/>
      <c r="N64" s="60"/>
      <c r="V64" s="43"/>
    </row>
    <row r="65" spans="1:92" ht="6" customHeight="1" x14ac:dyDescent="0.25">
      <c r="A65" s="49"/>
      <c r="G65" s="552"/>
      <c r="N65" s="60"/>
      <c r="V65" s="43"/>
    </row>
    <row r="66" spans="1:92" ht="49" thickBot="1" x14ac:dyDescent="0.3">
      <c r="A66" s="49"/>
      <c r="D66" s="38" t="s">
        <v>431</v>
      </c>
      <c r="E66" s="38"/>
      <c r="F66" s="38"/>
      <c r="G66" s="561"/>
      <c r="H66" s="499"/>
      <c r="I66" s="38"/>
      <c r="J66" s="38"/>
      <c r="K66" s="38"/>
      <c r="L66" s="38" t="s">
        <v>430</v>
      </c>
      <c r="M66" s="38" t="s">
        <v>208</v>
      </c>
      <c r="N66" s="185" t="s">
        <v>501</v>
      </c>
      <c r="O66" s="38" t="s">
        <v>211</v>
      </c>
      <c r="P66" s="38" t="str">
        <f>P8</f>
        <v>No. of hotel rooms</v>
      </c>
      <c r="Q66" s="38" t="s">
        <v>212</v>
      </c>
      <c r="S66" s="38" t="s">
        <v>201</v>
      </c>
      <c r="T66" s="38" t="s">
        <v>193</v>
      </c>
      <c r="V66" s="38" t="s">
        <v>249</v>
      </c>
      <c r="W66" s="499" t="s">
        <v>250</v>
      </c>
      <c r="Y66" s="38" t="s">
        <v>512</v>
      </c>
    </row>
    <row r="67" spans="1:92" ht="6" customHeight="1" x14ac:dyDescent="0.25">
      <c r="A67" s="49"/>
      <c r="G67" s="552"/>
      <c r="N67" s="60"/>
      <c r="V67" s="43"/>
    </row>
    <row r="68" spans="1:92" ht="21" x14ac:dyDescent="0.25">
      <c r="A68" s="51"/>
      <c r="B68" s="31" t="s">
        <v>204</v>
      </c>
      <c r="G68" s="552"/>
      <c r="N68" s="60"/>
      <c r="O68" s="44">
        <v>6227</v>
      </c>
      <c r="P68" s="44">
        <f>Hotel!C31</f>
        <v>0</v>
      </c>
      <c r="Q68" s="44">
        <v>13531</v>
      </c>
      <c r="R68" s="69">
        <f>Q68/O68</f>
        <v>2.1729564798458325</v>
      </c>
      <c r="S68" s="65" t="s">
        <v>217</v>
      </c>
      <c r="V68" s="30">
        <v>2256</v>
      </c>
      <c r="W68" s="139">
        <f>V68/O68</f>
        <v>0.36229323911996147</v>
      </c>
    </row>
    <row r="69" spans="1:92" ht="6" customHeight="1" x14ac:dyDescent="0.25">
      <c r="A69" s="51"/>
      <c r="G69" s="552"/>
      <c r="N69" s="60"/>
      <c r="O69" s="30"/>
      <c r="P69" s="30"/>
      <c r="Q69" s="30"/>
      <c r="V69" s="30"/>
    </row>
    <row r="70" spans="1:92" ht="21" outlineLevel="1" x14ac:dyDescent="0.25">
      <c r="A70" s="51"/>
      <c r="B70" s="32" t="s">
        <v>187</v>
      </c>
      <c r="G70" s="552"/>
      <c r="N70" s="60"/>
      <c r="Q70" s="30"/>
      <c r="V70" s="30"/>
    </row>
    <row r="71" spans="1:92" ht="21" outlineLevel="1" x14ac:dyDescent="0.25">
      <c r="A71" s="51"/>
      <c r="B71" s="32"/>
      <c r="G71" s="552"/>
      <c r="N71" s="60"/>
      <c r="O71" s="30" t="s">
        <v>11</v>
      </c>
      <c r="P71" s="30"/>
      <c r="Q71" s="30"/>
      <c r="V71" s="30"/>
    </row>
    <row r="72" spans="1:92" ht="6" customHeight="1" outlineLevel="1" x14ac:dyDescent="0.25">
      <c r="A72" s="51"/>
      <c r="B72" s="32"/>
      <c r="G72" s="552"/>
      <c r="N72" s="60"/>
      <c r="O72" s="30"/>
      <c r="P72" s="30"/>
      <c r="Q72" s="30"/>
      <c r="V72" s="30"/>
    </row>
    <row r="73" spans="1:92" ht="21" x14ac:dyDescent="0.25">
      <c r="A73" s="51"/>
      <c r="B73" s="67" t="s">
        <v>215</v>
      </c>
      <c r="C73" s="56"/>
      <c r="D73" s="56"/>
      <c r="E73" s="56"/>
      <c r="F73" s="56"/>
      <c r="G73" s="562"/>
      <c r="H73" s="276"/>
      <c r="I73" s="57"/>
      <c r="J73" s="56"/>
      <c r="K73" s="56"/>
      <c r="L73" s="57"/>
      <c r="M73" s="56"/>
      <c r="N73" s="156"/>
      <c r="O73" s="56"/>
      <c r="P73" s="56"/>
      <c r="Q73" s="56"/>
      <c r="R73" s="56"/>
      <c r="V73" s="30"/>
    </row>
    <row r="74" spans="1:92" ht="6" customHeight="1" outlineLevel="1" x14ac:dyDescent="0.25">
      <c r="A74" s="51"/>
      <c r="B74" s="31"/>
      <c r="G74" s="552"/>
      <c r="N74" s="60"/>
      <c r="O74" s="30"/>
      <c r="P74" s="30"/>
      <c r="Q74" s="30"/>
      <c r="V74" s="30"/>
    </row>
    <row r="75" spans="1:92" ht="16" customHeight="1" outlineLevel="1" x14ac:dyDescent="0.25">
      <c r="A75" s="51"/>
      <c r="B75" s="31"/>
      <c r="C75" t="s">
        <v>129</v>
      </c>
      <c r="D75" t="s">
        <v>1989</v>
      </c>
      <c r="E75" t="s">
        <v>1948</v>
      </c>
      <c r="F75" t="s">
        <v>1917</v>
      </c>
      <c r="G75" s="552">
        <v>2028</v>
      </c>
      <c r="H75" s="47">
        <v>0.6</v>
      </c>
      <c r="I75" s="43" t="s">
        <v>1923</v>
      </c>
      <c r="J75" t="s">
        <v>1919</v>
      </c>
      <c r="K75" t="s">
        <v>1919</v>
      </c>
      <c r="M75" s="65">
        <v>29</v>
      </c>
      <c r="N75" s="153"/>
      <c r="O75" s="30">
        <v>716</v>
      </c>
      <c r="P75" s="30"/>
      <c r="Q75" s="30">
        <f t="shared" ref="Q75:Q83" si="26">O75*$M$4</f>
        <v>1432</v>
      </c>
      <c r="S75" s="30">
        <f>Q75+S74</f>
        <v>1432</v>
      </c>
      <c r="T75" s="47">
        <f>S75/$Q$68-1</f>
        <v>-0.89416894538467218</v>
      </c>
      <c r="V75" s="529">
        <f t="shared" ref="V75:V79" si="27">O75*$M$5</f>
        <v>193.32000000000002</v>
      </c>
      <c r="W75" s="139">
        <f>V75/O75</f>
        <v>0.27</v>
      </c>
      <c r="Y75" t="s">
        <v>11</v>
      </c>
      <c r="AA75" s="311"/>
    </row>
    <row r="76" spans="1:92" ht="16" customHeight="1" outlineLevel="1" x14ac:dyDescent="0.25">
      <c r="A76" s="51"/>
      <c r="B76" s="31"/>
      <c r="C76" t="s">
        <v>450</v>
      </c>
      <c r="D76" t="s">
        <v>1343</v>
      </c>
      <c r="E76" t="s">
        <v>1948</v>
      </c>
      <c r="F76" t="s">
        <v>387</v>
      </c>
      <c r="G76" s="552">
        <v>2016</v>
      </c>
      <c r="H76" s="47">
        <v>1</v>
      </c>
      <c r="I76" s="43" t="s">
        <v>1923</v>
      </c>
      <c r="J76" t="s">
        <v>1119</v>
      </c>
      <c r="K76" t="s">
        <v>1119</v>
      </c>
      <c r="L76" s="43" t="s">
        <v>1356</v>
      </c>
      <c r="M76" s="65">
        <v>43</v>
      </c>
      <c r="N76" s="153">
        <v>1429</v>
      </c>
      <c r="O76" s="30">
        <v>484</v>
      </c>
      <c r="P76" s="30"/>
      <c r="Q76" s="30">
        <f t="shared" si="26"/>
        <v>968</v>
      </c>
      <c r="S76" s="30">
        <f>Q76+S75</f>
        <v>2400</v>
      </c>
      <c r="T76" s="47">
        <f>S76/$Q$68-1</f>
        <v>-0.82262951740447865</v>
      </c>
      <c r="V76" s="529">
        <f t="shared" si="27"/>
        <v>130.68</v>
      </c>
      <c r="W76" s="139">
        <f t="shared" ref="W76:W83" si="28">V76/O76</f>
        <v>0.27</v>
      </c>
      <c r="Y76" t="s">
        <v>518</v>
      </c>
      <c r="AA76" s="311"/>
    </row>
    <row r="77" spans="1:92" ht="16" customHeight="1" outlineLevel="1" x14ac:dyDescent="0.25">
      <c r="A77" s="51"/>
      <c r="B77" s="31"/>
      <c r="C77" t="s">
        <v>146</v>
      </c>
      <c r="D77" t="s">
        <v>1939</v>
      </c>
      <c r="E77" t="s">
        <v>1948</v>
      </c>
      <c r="F77" t="s">
        <v>387</v>
      </c>
      <c r="G77" s="552">
        <v>2016</v>
      </c>
      <c r="H77" s="47">
        <v>1</v>
      </c>
      <c r="I77" s="43" t="s">
        <v>1923</v>
      </c>
      <c r="J77" t="s">
        <v>1119</v>
      </c>
      <c r="K77" t="s">
        <v>1119</v>
      </c>
      <c r="M77" s="65">
        <v>12</v>
      </c>
      <c r="N77" s="153"/>
      <c r="O77" s="30">
        <v>23</v>
      </c>
      <c r="P77" s="30"/>
      <c r="Q77" s="30">
        <f t="shared" si="26"/>
        <v>46</v>
      </c>
      <c r="S77" s="30">
        <f>Q77+S89</f>
        <v>4046</v>
      </c>
      <c r="T77" s="47">
        <f>S77/$Q$68-1</f>
        <v>-0.70098292809105023</v>
      </c>
      <c r="V77" s="529">
        <f t="shared" si="27"/>
        <v>6.2100000000000009</v>
      </c>
      <c r="W77" s="139">
        <f t="shared" si="28"/>
        <v>0.27</v>
      </c>
      <c r="AD77" s="43" t="s">
        <v>1712</v>
      </c>
      <c r="AE77" s="268" t="s">
        <v>1713</v>
      </c>
      <c r="AF77" s="43" t="s">
        <v>1714</v>
      </c>
      <c r="AG77" s="43" t="s">
        <v>1679</v>
      </c>
      <c r="AH77" s="364">
        <v>41221</v>
      </c>
      <c r="AI77" s="364">
        <v>41221</v>
      </c>
      <c r="AJ77" s="268" t="s">
        <v>1713</v>
      </c>
      <c r="AK77" s="43" t="s">
        <v>1424</v>
      </c>
      <c r="AL77" s="43" t="s">
        <v>1715</v>
      </c>
      <c r="AM77" s="43" t="s">
        <v>1715</v>
      </c>
      <c r="AN77" s="43">
        <v>1.7</v>
      </c>
      <c r="AO77" s="30" t="s">
        <v>1576</v>
      </c>
      <c r="AP77" s="30">
        <v>722</v>
      </c>
      <c r="AQ77" s="43" t="s">
        <v>534</v>
      </c>
      <c r="AR77" s="43" t="s">
        <v>1576</v>
      </c>
      <c r="AS77" s="43" t="s">
        <v>1576</v>
      </c>
      <c r="AT77" s="43" t="s">
        <v>1576</v>
      </c>
      <c r="AU77" s="43" t="s">
        <v>1576</v>
      </c>
      <c r="AV77" s="43" t="s">
        <v>1576</v>
      </c>
      <c r="AW77" s="43">
        <v>5179</v>
      </c>
      <c r="AX77" s="43">
        <v>0</v>
      </c>
      <c r="AY77" s="43">
        <v>52</v>
      </c>
      <c r="AZ77" s="43">
        <v>85</v>
      </c>
      <c r="BA77" s="43">
        <v>20</v>
      </c>
      <c r="BB77" s="43">
        <v>0</v>
      </c>
      <c r="BC77" s="43">
        <v>0</v>
      </c>
      <c r="BD77" s="43">
        <f>SUM(AX77:BC77)</f>
        <v>157</v>
      </c>
      <c r="BE77" s="43">
        <v>0</v>
      </c>
      <c r="BF77" s="43">
        <v>52</v>
      </c>
      <c r="BG77" s="43">
        <v>75</v>
      </c>
      <c r="BH77" s="43">
        <v>38</v>
      </c>
      <c r="BI77" s="43">
        <v>30</v>
      </c>
      <c r="BJ77" s="43">
        <v>0</v>
      </c>
      <c r="BK77" s="43">
        <f>SUM(BE77:BJ77)</f>
        <v>195</v>
      </c>
      <c r="BL77" s="43">
        <v>0</v>
      </c>
      <c r="BM77" s="43">
        <v>15</v>
      </c>
      <c r="BN77" s="43">
        <v>30</v>
      </c>
      <c r="BO77" s="43">
        <v>2</v>
      </c>
      <c r="BP77" s="43">
        <v>0</v>
      </c>
      <c r="BQ77" s="43">
        <v>0</v>
      </c>
      <c r="BR77" s="43">
        <f>SUM(BL77:BQ77)</f>
        <v>47</v>
      </c>
      <c r="BS77" s="30">
        <f>SUM(BD77+BK77+BR77)</f>
        <v>399</v>
      </c>
      <c r="CE77" s="30">
        <v>189</v>
      </c>
      <c r="CF77" s="30">
        <v>498</v>
      </c>
      <c r="CG77" s="43" t="s">
        <v>1576</v>
      </c>
      <c r="CH77" s="43">
        <v>14</v>
      </c>
      <c r="CI77" s="372" t="s">
        <v>1716</v>
      </c>
      <c r="CJ77" s="372" t="s">
        <v>1717</v>
      </c>
      <c r="CN77" s="498" t="s">
        <v>1718</v>
      </c>
    </row>
    <row r="78" spans="1:92" ht="16" customHeight="1" outlineLevel="1" x14ac:dyDescent="0.25">
      <c r="A78" s="51"/>
      <c r="B78" s="31"/>
      <c r="C78" t="s">
        <v>1166</v>
      </c>
      <c r="D78" t="s">
        <v>1938</v>
      </c>
      <c r="E78" t="s">
        <v>1947</v>
      </c>
      <c r="F78" t="s">
        <v>1121</v>
      </c>
      <c r="G78" s="552">
        <v>2022</v>
      </c>
      <c r="H78" s="47">
        <v>1</v>
      </c>
      <c r="I78" s="43" t="s">
        <v>1923</v>
      </c>
      <c r="J78" t="s">
        <v>1119</v>
      </c>
      <c r="K78" t="s">
        <v>1119</v>
      </c>
      <c r="M78" s="65">
        <v>26</v>
      </c>
      <c r="N78" s="153">
        <v>887</v>
      </c>
      <c r="O78" s="30">
        <v>1706</v>
      </c>
      <c r="P78" s="30"/>
      <c r="Q78" s="30">
        <f t="shared" si="26"/>
        <v>3412</v>
      </c>
      <c r="S78" s="30">
        <f>Q78+S90</f>
        <v>4072</v>
      </c>
      <c r="T78" s="47">
        <f>S78/$Q$68-1</f>
        <v>-0.69906141452959869</v>
      </c>
      <c r="V78" s="529">
        <f t="shared" si="27"/>
        <v>460.62</v>
      </c>
      <c r="W78" s="139">
        <f t="shared" si="28"/>
        <v>0.27</v>
      </c>
      <c r="Y78" t="s">
        <v>519</v>
      </c>
      <c r="AA78" s="311"/>
    </row>
    <row r="79" spans="1:92" ht="16" customHeight="1" outlineLevel="1" x14ac:dyDescent="0.25">
      <c r="A79" s="51"/>
      <c r="B79" s="31"/>
      <c r="C79" t="s">
        <v>476</v>
      </c>
      <c r="D79" t="s">
        <v>447</v>
      </c>
      <c r="E79" t="s">
        <v>1947</v>
      </c>
      <c r="F79" t="s">
        <v>412</v>
      </c>
      <c r="G79" s="552">
        <v>2026</v>
      </c>
      <c r="H79" s="47">
        <v>0.8</v>
      </c>
      <c r="I79" s="43" t="s">
        <v>1923</v>
      </c>
      <c r="J79" t="s">
        <v>1119</v>
      </c>
      <c r="K79" t="s">
        <v>1919</v>
      </c>
      <c r="L79" s="43">
        <v>106</v>
      </c>
      <c r="M79" s="65">
        <v>30</v>
      </c>
      <c r="N79" s="153">
        <v>768</v>
      </c>
      <c r="O79" s="30">
        <v>804</v>
      </c>
      <c r="P79" s="30"/>
      <c r="Q79" s="30">
        <f t="shared" si="26"/>
        <v>1608</v>
      </c>
      <c r="S79" s="30">
        <f>Q79+S89</f>
        <v>5608</v>
      </c>
      <c r="T79" s="47">
        <f>S79/$Q$68-1</f>
        <v>-0.58554430566846505</v>
      </c>
      <c r="V79" s="529">
        <f t="shared" si="27"/>
        <v>217.08</v>
      </c>
      <c r="W79" s="139">
        <f t="shared" si="28"/>
        <v>0.27</v>
      </c>
      <c r="Y79" t="s">
        <v>518</v>
      </c>
      <c r="AA79" s="311"/>
      <c r="AC79" s="580">
        <v>42439</v>
      </c>
      <c r="AQ79" s="43">
        <v>2</v>
      </c>
    </row>
    <row r="80" spans="1:92" ht="16" customHeight="1" outlineLevel="1" x14ac:dyDescent="0.25">
      <c r="A80" s="51"/>
      <c r="B80" s="31"/>
      <c r="C80" s="33" t="s">
        <v>1958</v>
      </c>
      <c r="D80" t="s">
        <v>1957</v>
      </c>
      <c r="E80" t="s">
        <v>1947</v>
      </c>
      <c r="F80" t="s">
        <v>1927</v>
      </c>
      <c r="G80" s="552">
        <v>2023</v>
      </c>
      <c r="H80" s="47">
        <v>0.9</v>
      </c>
      <c r="I80" s="43" t="s">
        <v>1923</v>
      </c>
      <c r="J80" t="s">
        <v>1119</v>
      </c>
      <c r="K80" t="s">
        <v>1919</v>
      </c>
      <c r="M80" s="65">
        <v>24</v>
      </c>
      <c r="N80" s="153">
        <v>2377</v>
      </c>
      <c r="O80" s="30">
        <v>338</v>
      </c>
      <c r="P80" s="30"/>
      <c r="Q80" s="30">
        <f t="shared" si="26"/>
        <v>676</v>
      </c>
      <c r="S80" s="30"/>
      <c r="T80" s="47"/>
      <c r="V80" s="34">
        <f>34+35+27</f>
        <v>96</v>
      </c>
      <c r="W80" s="139">
        <f t="shared" si="28"/>
        <v>0.28402366863905326</v>
      </c>
      <c r="Y80" t="s">
        <v>511</v>
      </c>
      <c r="AA80" s="311"/>
      <c r="AC80" s="580">
        <v>42725</v>
      </c>
      <c r="AD80" s="524" t="s">
        <v>1959</v>
      </c>
      <c r="AE80" s="436"/>
      <c r="AJ80" s="268"/>
      <c r="AL80" s="268"/>
      <c r="AQ80" s="43">
        <v>4</v>
      </c>
      <c r="AT80" s="43">
        <v>34</v>
      </c>
      <c r="AU80" s="43">
        <v>35</v>
      </c>
      <c r="AV80" s="43">
        <v>27</v>
      </c>
      <c r="CN80" s="425"/>
    </row>
    <row r="81" spans="1:92" ht="16" customHeight="1" outlineLevel="1" x14ac:dyDescent="0.25">
      <c r="A81" s="51"/>
      <c r="B81" s="31"/>
      <c r="C81" t="s">
        <v>1349</v>
      </c>
      <c r="D81" t="s">
        <v>457</v>
      </c>
      <c r="E81" t="s">
        <v>1945</v>
      </c>
      <c r="F81" t="s">
        <v>1121</v>
      </c>
      <c r="G81" s="552">
        <v>2028</v>
      </c>
      <c r="H81" s="47">
        <v>1</v>
      </c>
      <c r="I81" s="43" t="s">
        <v>1923</v>
      </c>
      <c r="J81" t="s">
        <v>1119</v>
      </c>
      <c r="K81" t="s">
        <v>1119</v>
      </c>
      <c r="L81" s="43" t="s">
        <v>523</v>
      </c>
      <c r="M81" s="65">
        <v>56</v>
      </c>
      <c r="N81" s="153">
        <v>1796</v>
      </c>
      <c r="O81" s="30">
        <v>3610</v>
      </c>
      <c r="P81" s="30">
        <v>300</v>
      </c>
      <c r="Q81" s="30">
        <f t="shared" si="26"/>
        <v>7220</v>
      </c>
      <c r="S81" s="30">
        <f>Q81+Q74</f>
        <v>7220</v>
      </c>
      <c r="T81" s="47">
        <f>S81/$Q$68-1</f>
        <v>-0.46641046485847315</v>
      </c>
      <c r="V81" s="30">
        <v>715</v>
      </c>
      <c r="W81" s="139">
        <f t="shared" si="28"/>
        <v>0.19806094182825484</v>
      </c>
      <c r="Y81" t="s">
        <v>668</v>
      </c>
      <c r="AA81" s="311"/>
      <c r="AD81" s="43" t="s">
        <v>1667</v>
      </c>
      <c r="AE81" s="268" t="s">
        <v>1668</v>
      </c>
      <c r="AF81" s="43" t="s">
        <v>1630</v>
      </c>
      <c r="AG81" s="268" t="s">
        <v>1669</v>
      </c>
      <c r="AH81" s="364">
        <v>41841</v>
      </c>
      <c r="AI81" s="364">
        <v>41841</v>
      </c>
      <c r="AJ81" s="268" t="s">
        <v>1670</v>
      </c>
      <c r="AK81" s="43" t="s">
        <v>67</v>
      </c>
      <c r="AL81" s="268" t="s">
        <v>1671</v>
      </c>
      <c r="AM81" s="43" t="s">
        <v>1576</v>
      </c>
      <c r="AN81" s="43">
        <v>13.6</v>
      </c>
      <c r="AO81" s="30">
        <v>3104</v>
      </c>
      <c r="AP81" s="30">
        <v>8224</v>
      </c>
      <c r="AQ81" s="43" t="s">
        <v>1590</v>
      </c>
      <c r="AR81" s="43" t="s">
        <v>1576</v>
      </c>
      <c r="AS81" s="43" t="s">
        <v>1576</v>
      </c>
      <c r="AW81" s="43">
        <v>7150</v>
      </c>
      <c r="AX81" s="30"/>
      <c r="AY81" s="435"/>
      <c r="AZ81" s="435"/>
      <c r="BA81" s="435"/>
      <c r="BB81" s="435"/>
      <c r="BC81" s="435"/>
      <c r="BD81" s="435">
        <v>2500</v>
      </c>
      <c r="BE81" s="435">
        <v>0</v>
      </c>
      <c r="BF81" s="435">
        <v>126</v>
      </c>
      <c r="BG81" s="435">
        <v>123</v>
      </c>
      <c r="BH81" s="435">
        <v>132</v>
      </c>
      <c r="BI81" s="435">
        <v>39</v>
      </c>
      <c r="BJ81" s="435">
        <v>24</v>
      </c>
      <c r="BK81" s="435">
        <f>SUM(BE81:BJ81)</f>
        <v>444</v>
      </c>
      <c r="BL81" s="435">
        <v>0</v>
      </c>
      <c r="BM81" s="435">
        <v>80</v>
      </c>
      <c r="BN81" s="435">
        <v>64</v>
      </c>
      <c r="BO81" s="435">
        <v>16</v>
      </c>
      <c r="BP81" s="435">
        <v>0</v>
      </c>
      <c r="BQ81" s="435">
        <v>0</v>
      </c>
      <c r="BR81" s="435">
        <f>SUM(BL81:BQ81)</f>
        <v>160</v>
      </c>
      <c r="BS81" s="435">
        <f>SUM(BD81+BK81+BR81)</f>
        <v>3104</v>
      </c>
      <c r="BT81" s="435">
        <v>350</v>
      </c>
      <c r="BU81" s="435"/>
      <c r="BV81" s="435"/>
      <c r="BW81" s="435"/>
      <c r="BX81" s="435"/>
      <c r="BY81" s="435"/>
      <c r="BZ81" s="435"/>
      <c r="CA81" s="435"/>
      <c r="CB81" s="435"/>
      <c r="CC81" s="435"/>
      <c r="CD81" s="435"/>
      <c r="CE81" s="30" t="s">
        <v>1672</v>
      </c>
      <c r="CF81" s="30">
        <v>3000</v>
      </c>
      <c r="CG81" s="43">
        <v>211.5</v>
      </c>
      <c r="CH81" s="43">
        <v>60</v>
      </c>
      <c r="CI81" s="372" t="s">
        <v>1673</v>
      </c>
      <c r="CJ81" s="372" t="s">
        <v>1674</v>
      </c>
      <c r="CN81" s="498" t="s">
        <v>1675</v>
      </c>
    </row>
    <row r="82" spans="1:92" ht="16" customHeight="1" outlineLevel="1" x14ac:dyDescent="0.25">
      <c r="A82" s="51"/>
      <c r="B82" s="31"/>
      <c r="C82" t="s">
        <v>1341</v>
      </c>
      <c r="D82" t="s">
        <v>76</v>
      </c>
      <c r="E82" t="s">
        <v>1945</v>
      </c>
      <c r="F82" t="s">
        <v>412</v>
      </c>
      <c r="G82" s="552">
        <v>2025</v>
      </c>
      <c r="H82" s="47">
        <v>0.8</v>
      </c>
      <c r="I82" s="43" t="s">
        <v>1930</v>
      </c>
      <c r="J82" t="s">
        <v>1119</v>
      </c>
      <c r="K82" t="s">
        <v>1934</v>
      </c>
      <c r="M82" s="65">
        <v>35</v>
      </c>
      <c r="N82" s="153">
        <v>2558</v>
      </c>
      <c r="O82" s="30">
        <v>414</v>
      </c>
      <c r="P82" s="30"/>
      <c r="Q82" s="30">
        <f t="shared" si="26"/>
        <v>828</v>
      </c>
      <c r="S82" s="30">
        <f>Q82+S91</f>
        <v>1162</v>
      </c>
      <c r="T82" s="47">
        <f>S82/$Q$68-1</f>
        <v>-0.91412312467666834</v>
      </c>
      <c r="V82" s="30">
        <v>140</v>
      </c>
      <c r="W82" s="139">
        <f t="shared" si="28"/>
        <v>0.33816425120772947</v>
      </c>
      <c r="Y82" t="s">
        <v>521</v>
      </c>
      <c r="AA82" s="311"/>
      <c r="AD82" s="43" t="s">
        <v>1685</v>
      </c>
      <c r="AE82" s="268" t="s">
        <v>1686</v>
      </c>
      <c r="AF82" s="43" t="s">
        <v>1687</v>
      </c>
      <c r="AG82" s="43" t="s">
        <v>1679</v>
      </c>
      <c r="AH82" s="364">
        <v>41137</v>
      </c>
      <c r="AI82" s="364">
        <v>41179</v>
      </c>
      <c r="AJ82" s="268" t="s">
        <v>1688</v>
      </c>
      <c r="AK82" s="43" t="s">
        <v>78</v>
      </c>
      <c r="AL82" s="268" t="s">
        <v>1689</v>
      </c>
      <c r="AM82" s="43" t="s">
        <v>1690</v>
      </c>
      <c r="AN82" s="43">
        <v>4.5</v>
      </c>
      <c r="AO82" s="30" t="s">
        <v>1576</v>
      </c>
      <c r="AP82" s="30">
        <v>606</v>
      </c>
      <c r="AQ82" s="43">
        <v>4</v>
      </c>
      <c r="AR82" s="43" t="s">
        <v>1576</v>
      </c>
      <c r="AS82" s="43">
        <v>381</v>
      </c>
      <c r="AT82" s="43">
        <v>14.2</v>
      </c>
      <c r="AU82" s="43">
        <v>12.4</v>
      </c>
      <c r="AV82" s="43" t="s">
        <v>1576</v>
      </c>
      <c r="AW82" s="43">
        <v>2660</v>
      </c>
      <c r="AX82" s="43">
        <v>0</v>
      </c>
      <c r="AY82" s="43">
        <v>261</v>
      </c>
      <c r="AZ82" s="43">
        <v>218</v>
      </c>
      <c r="BA82" s="43">
        <v>147</v>
      </c>
      <c r="BB82" s="43">
        <v>0</v>
      </c>
      <c r="BC82" s="43">
        <v>0</v>
      </c>
      <c r="BD82" s="43">
        <f>SUM(AX82:BC82)</f>
        <v>626</v>
      </c>
      <c r="BE82" s="43">
        <v>0</v>
      </c>
      <c r="BF82" s="43">
        <v>22</v>
      </c>
      <c r="BG82" s="43">
        <v>45</v>
      </c>
      <c r="BH82" s="43">
        <v>44</v>
      </c>
      <c r="BI82" s="43">
        <v>18</v>
      </c>
      <c r="BJ82" s="43">
        <v>9</v>
      </c>
      <c r="BK82" s="43">
        <f>SUM(BE82:BJ82)</f>
        <v>138</v>
      </c>
      <c r="BL82" s="43">
        <v>0</v>
      </c>
      <c r="BM82" s="43">
        <v>33</v>
      </c>
      <c r="BN82" s="43">
        <v>33</v>
      </c>
      <c r="BO82" s="43">
        <v>12</v>
      </c>
      <c r="BP82" s="43">
        <v>8</v>
      </c>
      <c r="BQ82" s="43">
        <v>0</v>
      </c>
      <c r="BR82" s="43">
        <f>SUM(BL82:BQ82)</f>
        <v>86</v>
      </c>
      <c r="BS82" s="30">
        <f>SUM(BD82+BK82+BR82)</f>
        <v>850</v>
      </c>
      <c r="CE82" s="30">
        <v>755</v>
      </c>
      <c r="CF82" s="30">
        <v>1255</v>
      </c>
      <c r="CG82" s="43">
        <v>86.65</v>
      </c>
      <c r="CH82" s="43">
        <v>23</v>
      </c>
      <c r="CI82" s="372" t="s">
        <v>1691</v>
      </c>
      <c r="CJ82" s="372" t="s">
        <v>1576</v>
      </c>
      <c r="CN82" s="425" t="s">
        <v>1692</v>
      </c>
    </row>
    <row r="83" spans="1:92" ht="16" customHeight="1" outlineLevel="1" x14ac:dyDescent="0.25">
      <c r="A83" s="51"/>
      <c r="B83" s="31"/>
      <c r="C83" t="s">
        <v>1336</v>
      </c>
      <c r="D83" t="s">
        <v>1939</v>
      </c>
      <c r="E83" t="s">
        <v>1945</v>
      </c>
      <c r="F83" t="s">
        <v>387</v>
      </c>
      <c r="G83" s="552">
        <v>2016</v>
      </c>
      <c r="H83" s="47">
        <v>1</v>
      </c>
      <c r="I83" s="43" t="s">
        <v>1923</v>
      </c>
      <c r="J83" t="s">
        <v>1119</v>
      </c>
      <c r="K83" t="s">
        <v>1119</v>
      </c>
      <c r="M83" s="65">
        <v>26</v>
      </c>
      <c r="N83" s="153">
        <v>2103</v>
      </c>
      <c r="O83" s="30">
        <v>190</v>
      </c>
      <c r="P83" s="30"/>
      <c r="Q83" s="30">
        <f t="shared" si="26"/>
        <v>380</v>
      </c>
      <c r="S83" s="30">
        <f>Q83+S93</f>
        <v>892</v>
      </c>
      <c r="T83" s="47">
        <f>S83/$Q$68-1</f>
        <v>-0.93407730396866451</v>
      </c>
      <c r="V83" s="30">
        <v>17</v>
      </c>
      <c r="W83" s="139">
        <f t="shared" si="28"/>
        <v>8.9473684210526316E-2</v>
      </c>
      <c r="AA83" s="311"/>
      <c r="AD83" s="43" t="s">
        <v>1693</v>
      </c>
      <c r="AE83" s="268" t="s">
        <v>1694</v>
      </c>
      <c r="AF83" s="43" t="s">
        <v>1695</v>
      </c>
      <c r="AG83" s="43" t="s">
        <v>1696</v>
      </c>
      <c r="AH83" s="364">
        <v>39478</v>
      </c>
      <c r="AI83" s="364">
        <v>39478</v>
      </c>
      <c r="AJ83" s="268" t="s">
        <v>1694</v>
      </c>
      <c r="AK83" s="43" t="s">
        <v>1424</v>
      </c>
      <c r="AL83" s="268" t="s">
        <v>1697</v>
      </c>
      <c r="AM83" s="268" t="s">
        <v>1697</v>
      </c>
      <c r="AN83" s="43">
        <v>0.89</v>
      </c>
      <c r="AO83" s="43" t="s">
        <v>1576</v>
      </c>
      <c r="AP83" s="30">
        <v>1429</v>
      </c>
      <c r="AQ83" s="43">
        <v>4</v>
      </c>
      <c r="AR83" s="43" t="s">
        <v>1576</v>
      </c>
      <c r="AS83" s="43" t="s">
        <v>1576</v>
      </c>
      <c r="AT83" s="43" t="s">
        <v>1576</v>
      </c>
      <c r="AU83" s="43" t="s">
        <v>1576</v>
      </c>
      <c r="AV83" s="43" t="s">
        <v>1576</v>
      </c>
      <c r="AW83" s="43">
        <v>450</v>
      </c>
      <c r="AX83" s="43">
        <v>58</v>
      </c>
      <c r="AY83" s="43">
        <v>161</v>
      </c>
      <c r="AZ83" s="43">
        <v>136</v>
      </c>
      <c r="BA83" s="43">
        <v>33</v>
      </c>
      <c r="BB83" s="43">
        <v>1</v>
      </c>
      <c r="BC83" s="43">
        <v>0</v>
      </c>
      <c r="BD83" s="43">
        <f>SUM(AX83:BC83)</f>
        <v>389</v>
      </c>
      <c r="BE83" s="43">
        <v>0</v>
      </c>
      <c r="BF83" s="43">
        <v>5</v>
      </c>
      <c r="BG83" s="43">
        <v>21</v>
      </c>
      <c r="BH83" s="43">
        <v>25</v>
      </c>
      <c r="BI83" s="43">
        <v>11</v>
      </c>
      <c r="BJ83" s="43">
        <v>3</v>
      </c>
      <c r="BK83" s="43">
        <f>SUM(BE83:BJ83)</f>
        <v>65</v>
      </c>
      <c r="BL83" s="43">
        <v>0</v>
      </c>
      <c r="BM83" s="43">
        <v>19</v>
      </c>
      <c r="BN83" s="43">
        <v>13</v>
      </c>
      <c r="BO83" s="43">
        <v>0</v>
      </c>
      <c r="BP83" s="43">
        <v>0</v>
      </c>
      <c r="BQ83" s="43">
        <v>0</v>
      </c>
      <c r="BR83" s="43">
        <f>SUM(BL83:BQ83)</f>
        <v>32</v>
      </c>
      <c r="BS83" s="30">
        <f>SUM(BD83+BK83+BR83)</f>
        <v>486</v>
      </c>
      <c r="CE83" s="30">
        <v>221</v>
      </c>
      <c r="CF83" s="30">
        <v>250</v>
      </c>
      <c r="CG83" s="43">
        <v>44</v>
      </c>
      <c r="CH83" s="43">
        <v>142.19999999999999</v>
      </c>
      <c r="CJ83" s="372" t="s">
        <v>1576</v>
      </c>
      <c r="CN83" s="498" t="s">
        <v>1698</v>
      </c>
    </row>
    <row r="84" spans="1:92" x14ac:dyDescent="0.2">
      <c r="G84" s="552"/>
    </row>
    <row r="85" spans="1:92" ht="16" customHeight="1" outlineLevel="1" x14ac:dyDescent="0.25">
      <c r="A85" s="51"/>
      <c r="B85" s="31"/>
      <c r="C85" s="175" t="s">
        <v>113</v>
      </c>
      <c r="D85" t="s">
        <v>1280</v>
      </c>
      <c r="E85" t="s">
        <v>196</v>
      </c>
      <c r="F85" t="s">
        <v>1929</v>
      </c>
      <c r="G85" s="552">
        <v>2022</v>
      </c>
      <c r="H85" s="47">
        <v>0.9</v>
      </c>
      <c r="I85" s="43" t="s">
        <v>1923</v>
      </c>
      <c r="J85" t="s">
        <v>1919</v>
      </c>
      <c r="K85" t="s">
        <v>1919</v>
      </c>
      <c r="L85" s="43" t="s">
        <v>1956</v>
      </c>
      <c r="M85" s="65">
        <v>48</v>
      </c>
      <c r="N85" s="153"/>
      <c r="O85" s="30">
        <v>336</v>
      </c>
      <c r="P85" s="30"/>
      <c r="Q85" s="30">
        <f t="shared" ref="Q85:Q96" si="29">O85*$M$4</f>
        <v>672</v>
      </c>
      <c r="S85" s="30">
        <f>Q85+S76</f>
        <v>3072</v>
      </c>
      <c r="T85" s="47">
        <f>S85/$Q$68-1</f>
        <v>-0.7729657822777326</v>
      </c>
      <c r="V85" s="529">
        <f t="shared" ref="V85" si="30">O85*$M$5</f>
        <v>90.72</v>
      </c>
      <c r="W85" s="139">
        <f>V85/O85</f>
        <v>0.27</v>
      </c>
      <c r="Y85" t="s">
        <v>1278</v>
      </c>
      <c r="AA85" s="311"/>
      <c r="AB85" t="s">
        <v>1119</v>
      </c>
    </row>
    <row r="86" spans="1:92" ht="16" customHeight="1" outlineLevel="1" x14ac:dyDescent="0.25">
      <c r="A86" s="51"/>
      <c r="B86" s="31"/>
      <c r="C86" s="175" t="s">
        <v>1978</v>
      </c>
      <c r="D86" t="s">
        <v>1502</v>
      </c>
      <c r="E86" t="s">
        <v>196</v>
      </c>
      <c r="F86" t="s">
        <v>1121</v>
      </c>
      <c r="G86" s="552">
        <v>2020</v>
      </c>
      <c r="H86" s="47">
        <v>1</v>
      </c>
      <c r="I86" s="43" t="s">
        <v>1923</v>
      </c>
      <c r="J86" t="s">
        <v>1119</v>
      </c>
      <c r="K86" t="s">
        <v>1119</v>
      </c>
      <c r="L86" s="43" t="s">
        <v>500</v>
      </c>
      <c r="M86" s="65">
        <v>53</v>
      </c>
      <c r="N86" s="153">
        <v>2850</v>
      </c>
      <c r="O86" s="30">
        <v>423</v>
      </c>
      <c r="P86" s="30"/>
      <c r="Q86" s="30">
        <f t="shared" si="29"/>
        <v>846</v>
      </c>
      <c r="S86" s="30">
        <f>Q86+S85</f>
        <v>3918</v>
      </c>
      <c r="T86" s="47">
        <f>S86/$Q$68-1</f>
        <v>-0.71044268716281134</v>
      </c>
      <c r="V86" s="30">
        <v>105</v>
      </c>
      <c r="W86" s="139">
        <f t="shared" ref="W86:W96" si="31">V86/O86</f>
        <v>0.24822695035460993</v>
      </c>
      <c r="Y86" t="s">
        <v>515</v>
      </c>
      <c r="AA86" s="311"/>
      <c r="AB86" t="s">
        <v>1119</v>
      </c>
      <c r="AD86" s="43" t="s">
        <v>1676</v>
      </c>
      <c r="AE86" s="268" t="s">
        <v>1677</v>
      </c>
      <c r="AF86" s="43" t="s">
        <v>1678</v>
      </c>
      <c r="AG86" s="43" t="s">
        <v>1679</v>
      </c>
      <c r="AH86" s="364">
        <v>40609</v>
      </c>
      <c r="AI86" s="364">
        <v>40609</v>
      </c>
      <c r="AJ86" s="268" t="s">
        <v>1677</v>
      </c>
      <c r="AK86" s="43" t="s">
        <v>1424</v>
      </c>
      <c r="AL86" s="268" t="s">
        <v>1680</v>
      </c>
      <c r="AM86" s="268" t="s">
        <v>1681</v>
      </c>
      <c r="AN86" s="43">
        <v>4.6900000000000004</v>
      </c>
      <c r="AO86" s="30">
        <v>364</v>
      </c>
      <c r="AP86" s="30">
        <v>887</v>
      </c>
      <c r="AQ86" s="43" t="s">
        <v>1682</v>
      </c>
      <c r="AR86" s="43">
        <v>365</v>
      </c>
      <c r="AS86" s="43" t="s">
        <v>1576</v>
      </c>
      <c r="AT86" s="43" t="s">
        <v>1576</v>
      </c>
      <c r="AU86" s="43" t="s">
        <v>1576</v>
      </c>
      <c r="AV86" s="43" t="s">
        <v>1576</v>
      </c>
      <c r="AW86" s="43">
        <v>4905</v>
      </c>
      <c r="AY86" s="43">
        <f>163 + 730</f>
        <v>893</v>
      </c>
      <c r="AZ86" s="43">
        <f>131 +292</f>
        <v>423</v>
      </c>
      <c r="BA86" s="43">
        <f>36+101</f>
        <v>137</v>
      </c>
      <c r="BD86" s="43">
        <f>SUM(AX86:BC86)</f>
        <v>1453</v>
      </c>
      <c r="BF86" s="43">
        <v>45</v>
      </c>
      <c r="BG86" s="43">
        <v>70</v>
      </c>
      <c r="BH86" s="43">
        <v>92</v>
      </c>
      <c r="BK86" s="43">
        <f>SUM(BE86:BJ86)</f>
        <v>207</v>
      </c>
      <c r="BM86" s="43">
        <v>28</v>
      </c>
      <c r="BN86" s="43">
        <v>18</v>
      </c>
      <c r="BO86" s="43">
        <v>0</v>
      </c>
      <c r="BP86" s="43">
        <v>0</v>
      </c>
      <c r="BQ86" s="43">
        <v>0</v>
      </c>
      <c r="BR86" s="43">
        <f>SUM(BL86:BQ86)</f>
        <v>46</v>
      </c>
      <c r="BS86" s="30">
        <f>SUM(BD86+BK86+BR86)</f>
        <v>1706</v>
      </c>
      <c r="BU86" s="30">
        <v>4502</v>
      </c>
      <c r="BW86" s="30">
        <v>632</v>
      </c>
      <c r="BY86" s="30">
        <v>1852</v>
      </c>
      <c r="BZ86" s="30">
        <v>2714</v>
      </c>
      <c r="CA86" s="30">
        <v>1296</v>
      </c>
      <c r="CB86" s="30">
        <v>4800</v>
      </c>
      <c r="CC86" s="30">
        <v>1801</v>
      </c>
      <c r="CD86" s="30">
        <v>2049</v>
      </c>
      <c r="CE86" s="30">
        <v>629</v>
      </c>
      <c r="CF86" s="30" t="s">
        <v>1576</v>
      </c>
      <c r="CG86" s="43">
        <v>86</v>
      </c>
      <c r="CH86" s="43">
        <v>27</v>
      </c>
      <c r="CI86" s="372" t="s">
        <v>1683</v>
      </c>
      <c r="CJ86" s="372" t="s">
        <v>1576</v>
      </c>
      <c r="CN86" s="498" t="s">
        <v>1684</v>
      </c>
    </row>
    <row r="87" spans="1:92" ht="16" customHeight="1" outlineLevel="1" x14ac:dyDescent="0.25">
      <c r="A87" s="51"/>
      <c r="B87" s="31"/>
      <c r="C87" s="175" t="s">
        <v>1339</v>
      </c>
      <c r="D87" t="s">
        <v>446</v>
      </c>
      <c r="E87" t="s">
        <v>196</v>
      </c>
      <c r="F87" t="s">
        <v>1121</v>
      </c>
      <c r="G87" s="552">
        <v>2017</v>
      </c>
      <c r="H87" s="47">
        <v>1</v>
      </c>
      <c r="I87" s="43" t="s">
        <v>1923</v>
      </c>
      <c r="J87" t="s">
        <v>1119</v>
      </c>
      <c r="K87" t="s">
        <v>1119</v>
      </c>
      <c r="M87" s="65">
        <v>31</v>
      </c>
      <c r="N87" s="153">
        <v>1123</v>
      </c>
      <c r="O87" s="30">
        <v>121</v>
      </c>
      <c r="P87" s="30"/>
      <c r="Q87" s="30">
        <f t="shared" si="29"/>
        <v>242</v>
      </c>
      <c r="S87" s="30">
        <f>Q87+S86</f>
        <v>4160</v>
      </c>
      <c r="T87" s="47">
        <f>S87/$Q$68-1</f>
        <v>-0.69255783016776284</v>
      </c>
      <c r="V87" s="529">
        <f t="shared" ref="V87:V89" si="32">O87*$M$5</f>
        <v>32.67</v>
      </c>
      <c r="W87" s="139">
        <f t="shared" si="31"/>
        <v>0.27</v>
      </c>
      <c r="Y87" s="73" t="s">
        <v>1996</v>
      </c>
      <c r="AA87" s="311"/>
      <c r="AB87" t="s">
        <v>1119</v>
      </c>
      <c r="AD87" s="43" t="s">
        <v>1699</v>
      </c>
      <c r="AE87" s="436" t="s">
        <v>1700</v>
      </c>
      <c r="AF87" s="43" t="s">
        <v>1701</v>
      </c>
      <c r="AG87" s="43" t="s">
        <v>1679</v>
      </c>
      <c r="AH87" s="364">
        <v>42033</v>
      </c>
      <c r="AI87" s="364">
        <v>42033</v>
      </c>
      <c r="AJ87" s="268" t="s">
        <v>1702</v>
      </c>
      <c r="AK87" s="43" t="s">
        <v>1424</v>
      </c>
      <c r="AL87" s="268" t="s">
        <v>1703</v>
      </c>
      <c r="AM87" s="43" t="s">
        <v>1690</v>
      </c>
      <c r="AN87" s="43">
        <v>0.38</v>
      </c>
      <c r="AO87" s="30" t="s">
        <v>1576</v>
      </c>
      <c r="AP87" s="30">
        <v>2850</v>
      </c>
      <c r="AQ87" s="43">
        <v>4</v>
      </c>
      <c r="AR87" s="43" t="s">
        <v>1576</v>
      </c>
      <c r="AS87" s="43" t="s">
        <v>1576</v>
      </c>
      <c r="AT87" s="43">
        <v>52.6</v>
      </c>
      <c r="AU87" s="43">
        <v>34.299999999999997</v>
      </c>
      <c r="AV87" s="43">
        <v>18.399999999999999</v>
      </c>
      <c r="AW87" s="43">
        <v>1053</v>
      </c>
      <c r="AX87" s="43">
        <v>35</v>
      </c>
      <c r="AY87" s="43">
        <v>136</v>
      </c>
      <c r="AZ87" s="43">
        <v>136</v>
      </c>
      <c r="BA87" s="43">
        <v>12</v>
      </c>
      <c r="BB87" s="43">
        <v>0</v>
      </c>
      <c r="BC87" s="43">
        <v>0</v>
      </c>
      <c r="BD87" s="43">
        <f>SUM(AX87:BC87)</f>
        <v>319</v>
      </c>
      <c r="BE87" s="43">
        <v>0</v>
      </c>
      <c r="BF87" s="43">
        <v>8</v>
      </c>
      <c r="BG87" s="43">
        <v>22</v>
      </c>
      <c r="BH87" s="43">
        <v>28</v>
      </c>
      <c r="BI87" s="43">
        <v>0</v>
      </c>
      <c r="BJ87" s="43">
        <v>0</v>
      </c>
      <c r="BK87" s="43">
        <f>SUM(BE87:BJ87)</f>
        <v>58</v>
      </c>
      <c r="BL87" s="43">
        <v>0</v>
      </c>
      <c r="BM87" s="43">
        <v>16</v>
      </c>
      <c r="BN87" s="43">
        <v>26</v>
      </c>
      <c r="BO87" s="43">
        <v>4</v>
      </c>
      <c r="BP87" s="43">
        <v>0</v>
      </c>
      <c r="BQ87" s="43">
        <v>0</v>
      </c>
      <c r="BR87" s="43">
        <f>SUM(BL87:BQ87)</f>
        <v>46</v>
      </c>
      <c r="BS87" s="30">
        <f>SUM(BD87+BK87+BR87)</f>
        <v>423</v>
      </c>
      <c r="CE87" s="30">
        <v>30</v>
      </c>
      <c r="CF87" s="30">
        <v>481</v>
      </c>
      <c r="CG87" s="43">
        <v>187</v>
      </c>
      <c r="CH87" s="43">
        <v>53</v>
      </c>
      <c r="CI87" s="372" t="s">
        <v>1704</v>
      </c>
      <c r="CJ87" s="372" t="s">
        <v>1705</v>
      </c>
      <c r="CN87" s="498" t="s">
        <v>1706</v>
      </c>
    </row>
    <row r="88" spans="1:92" ht="16" customHeight="1" outlineLevel="1" x14ac:dyDescent="0.25">
      <c r="A88" s="51"/>
      <c r="B88" s="31"/>
      <c r="C88" s="175" t="s">
        <v>1941</v>
      </c>
      <c r="D88" t="s">
        <v>1962</v>
      </c>
      <c r="E88" t="s">
        <v>196</v>
      </c>
      <c r="F88" t="s">
        <v>1917</v>
      </c>
      <c r="G88" s="552">
        <v>2026</v>
      </c>
      <c r="H88" s="47">
        <v>0.6</v>
      </c>
      <c r="I88" s="43" t="s">
        <v>1923</v>
      </c>
      <c r="J88" t="s">
        <v>1919</v>
      </c>
      <c r="K88" t="s">
        <v>1919</v>
      </c>
      <c r="M88" s="65">
        <v>48</v>
      </c>
      <c r="N88" s="60"/>
      <c r="O88" s="30">
        <v>620</v>
      </c>
      <c r="P88" s="30"/>
      <c r="Q88" s="30">
        <f t="shared" si="29"/>
        <v>1240</v>
      </c>
      <c r="S88" s="30">
        <f>Q88+S101</f>
        <v>1240</v>
      </c>
      <c r="T88" s="47">
        <f>S88/$Q$10-1</f>
        <v>-0.90080000000000005</v>
      </c>
      <c r="V88" s="529">
        <f t="shared" si="32"/>
        <v>167.4</v>
      </c>
      <c r="W88" s="139">
        <f t="shared" si="31"/>
        <v>0.27</v>
      </c>
      <c r="Y88" t="s">
        <v>1960</v>
      </c>
      <c r="AB88" t="s">
        <v>1119</v>
      </c>
      <c r="AD88" s="43" t="s">
        <v>1758</v>
      </c>
      <c r="AE88" s="268" t="s">
        <v>1759</v>
      </c>
      <c r="AF88" s="43" t="s">
        <v>1701</v>
      </c>
      <c r="AG88" s="43" t="s">
        <v>1679</v>
      </c>
      <c r="AH88" s="364">
        <v>41382</v>
      </c>
      <c r="AI88" s="364">
        <v>41382</v>
      </c>
      <c r="AJ88" s="268" t="s">
        <v>1759</v>
      </c>
      <c r="AK88" s="43" t="s">
        <v>1424</v>
      </c>
      <c r="AL88" s="43" t="s">
        <v>1760</v>
      </c>
      <c r="AM88" s="268" t="s">
        <v>1761</v>
      </c>
      <c r="AN88" s="43">
        <v>0.24</v>
      </c>
      <c r="AO88" s="30">
        <v>370</v>
      </c>
      <c r="AP88" s="30">
        <v>1015</v>
      </c>
      <c r="AQ88" s="43">
        <v>4</v>
      </c>
      <c r="AR88" s="43" t="s">
        <v>1576</v>
      </c>
      <c r="AS88" s="43">
        <v>26</v>
      </c>
      <c r="AT88" s="43">
        <v>11.2</v>
      </c>
      <c r="AU88" s="43">
        <v>10.5</v>
      </c>
      <c r="AV88" s="43">
        <v>4.4000000000000004</v>
      </c>
      <c r="AW88" s="43">
        <v>243</v>
      </c>
      <c r="AX88" s="43">
        <v>10</v>
      </c>
      <c r="AY88" s="43">
        <v>19</v>
      </c>
      <c r="AZ88" s="43">
        <v>20</v>
      </c>
      <c r="BA88" s="43">
        <v>14</v>
      </c>
      <c r="BB88" s="43">
        <v>0</v>
      </c>
      <c r="BC88" s="43">
        <v>0</v>
      </c>
      <c r="BD88" s="43">
        <f>SUM(AX88:BC88)</f>
        <v>63</v>
      </c>
      <c r="BE88" s="43">
        <v>0</v>
      </c>
      <c r="BF88" s="43">
        <v>2</v>
      </c>
      <c r="BG88" s="43">
        <v>7</v>
      </c>
      <c r="BH88" s="43">
        <v>7</v>
      </c>
      <c r="BI88" s="43">
        <v>0</v>
      </c>
      <c r="BJ88" s="43">
        <v>0</v>
      </c>
      <c r="BK88" s="43">
        <f>SUM(BE88:BJ88)</f>
        <v>16</v>
      </c>
      <c r="BL88" s="43">
        <v>0</v>
      </c>
      <c r="BM88" s="43">
        <v>5</v>
      </c>
      <c r="BN88" s="43">
        <v>5</v>
      </c>
      <c r="BO88" s="43">
        <v>0</v>
      </c>
      <c r="BP88" s="43">
        <v>0</v>
      </c>
      <c r="BQ88" s="43">
        <v>0</v>
      </c>
      <c r="BR88" s="43">
        <f>SUM(BL88:BQ88)</f>
        <v>10</v>
      </c>
      <c r="BS88" s="30">
        <f>SUM(BD88+BK88+BR88)</f>
        <v>89</v>
      </c>
      <c r="BU88" s="30">
        <v>321</v>
      </c>
      <c r="CE88" s="30">
        <v>9</v>
      </c>
      <c r="CF88" s="30">
        <v>115</v>
      </c>
      <c r="CG88" s="43" t="s">
        <v>1576</v>
      </c>
      <c r="CH88" s="43">
        <v>13</v>
      </c>
      <c r="CI88" s="372" t="s">
        <v>1762</v>
      </c>
      <c r="CJ88" s="372" t="s">
        <v>1763</v>
      </c>
      <c r="CN88" s="498" t="s">
        <v>1764</v>
      </c>
    </row>
    <row r="89" spans="1:92" ht="16" customHeight="1" outlineLevel="1" x14ac:dyDescent="0.25">
      <c r="A89" s="51"/>
      <c r="B89" s="31"/>
      <c r="C89" t="s">
        <v>442</v>
      </c>
      <c r="D89" t="s">
        <v>1917</v>
      </c>
      <c r="E89" t="s">
        <v>181</v>
      </c>
      <c r="F89" t="s">
        <v>1917</v>
      </c>
      <c r="G89" s="552">
        <v>2026</v>
      </c>
      <c r="H89" s="47">
        <v>0.8</v>
      </c>
      <c r="I89" s="43" t="s">
        <v>1923</v>
      </c>
      <c r="J89" t="s">
        <v>1119</v>
      </c>
      <c r="K89" t="s">
        <v>1919</v>
      </c>
      <c r="L89" s="43" t="s">
        <v>1354</v>
      </c>
      <c r="M89" s="65">
        <v>36</v>
      </c>
      <c r="N89" s="153">
        <v>606</v>
      </c>
      <c r="O89" s="30">
        <v>2000</v>
      </c>
      <c r="P89" s="30"/>
      <c r="Q89" s="30">
        <f t="shared" si="29"/>
        <v>4000</v>
      </c>
      <c r="S89" s="30">
        <f>Q89+S102</f>
        <v>4000</v>
      </c>
      <c r="T89" s="47">
        <f t="shared" ref="T89:T96" si="33">S89/$Q$68-1</f>
        <v>-0.70438252900746434</v>
      </c>
      <c r="V89" s="529">
        <f t="shared" si="32"/>
        <v>540</v>
      </c>
      <c r="W89" s="139">
        <f t="shared" si="31"/>
        <v>0.27</v>
      </c>
      <c r="Y89" t="s">
        <v>1130</v>
      </c>
      <c r="AA89" s="311"/>
    </row>
    <row r="90" spans="1:92" ht="16" customHeight="1" outlineLevel="1" x14ac:dyDescent="0.25">
      <c r="A90" s="51"/>
      <c r="B90" s="31"/>
      <c r="C90" t="s">
        <v>1337</v>
      </c>
      <c r="D90" t="s">
        <v>482</v>
      </c>
      <c r="E90" t="s">
        <v>181</v>
      </c>
      <c r="F90" t="s">
        <v>1121</v>
      </c>
      <c r="G90" s="552">
        <v>2017</v>
      </c>
      <c r="H90" s="47">
        <v>1</v>
      </c>
      <c r="I90" s="43" t="s">
        <v>1923</v>
      </c>
      <c r="J90" t="s">
        <v>1119</v>
      </c>
      <c r="K90" t="s">
        <v>1119</v>
      </c>
      <c r="L90" s="43" t="s">
        <v>525</v>
      </c>
      <c r="M90" s="65">
        <v>45</v>
      </c>
      <c r="N90" s="153"/>
      <c r="O90" s="30">
        <v>330</v>
      </c>
      <c r="P90" s="30"/>
      <c r="Q90" s="30">
        <f t="shared" si="29"/>
        <v>660</v>
      </c>
      <c r="S90" s="30">
        <f>Q90+S80</f>
        <v>660</v>
      </c>
      <c r="T90" s="47">
        <f t="shared" si="33"/>
        <v>-0.95122311728623166</v>
      </c>
      <c r="V90" s="529">
        <f t="shared" ref="V90" si="34">O90*$M$5</f>
        <v>89.100000000000009</v>
      </c>
      <c r="W90" s="139">
        <f t="shared" si="31"/>
        <v>0.27</v>
      </c>
      <c r="Y90" t="s">
        <v>529</v>
      </c>
      <c r="AA90" s="311"/>
      <c r="BS90" s="30">
        <f>SUM(BD90+BK90+BR90)</f>
        <v>0</v>
      </c>
    </row>
    <row r="91" spans="1:92" ht="16" customHeight="1" outlineLevel="1" x14ac:dyDescent="0.25">
      <c r="A91" s="51"/>
      <c r="B91" s="31"/>
      <c r="C91" t="s">
        <v>1338</v>
      </c>
      <c r="D91" t="s">
        <v>446</v>
      </c>
      <c r="E91" t="s">
        <v>181</v>
      </c>
      <c r="F91" t="s">
        <v>1121</v>
      </c>
      <c r="G91" s="552">
        <v>2019</v>
      </c>
      <c r="H91" s="47">
        <v>1</v>
      </c>
      <c r="I91" s="43" t="s">
        <v>1923</v>
      </c>
      <c r="J91" t="s">
        <v>1119</v>
      </c>
      <c r="K91" t="s">
        <v>1119</v>
      </c>
      <c r="M91" s="65">
        <v>29</v>
      </c>
      <c r="N91" s="153">
        <v>1320</v>
      </c>
      <c r="O91" s="30">
        <v>167</v>
      </c>
      <c r="P91" s="30"/>
      <c r="Q91" s="30">
        <f t="shared" si="29"/>
        <v>334</v>
      </c>
      <c r="S91" s="30">
        <f>Q91+S80</f>
        <v>334</v>
      </c>
      <c r="T91" s="47">
        <f t="shared" si="33"/>
        <v>-0.97531594117212328</v>
      </c>
      <c r="V91" s="30">
        <v>40</v>
      </c>
      <c r="W91" s="139">
        <f t="shared" si="31"/>
        <v>0.23952095808383234</v>
      </c>
      <c r="Y91" t="s">
        <v>522</v>
      </c>
      <c r="AA91" s="311"/>
    </row>
    <row r="92" spans="1:92" ht="16" customHeight="1" outlineLevel="1" x14ac:dyDescent="0.25">
      <c r="A92" s="51"/>
      <c r="B92" s="31"/>
      <c r="C92" t="s">
        <v>509</v>
      </c>
      <c r="D92" t="s">
        <v>446</v>
      </c>
      <c r="E92" t="s">
        <v>181</v>
      </c>
      <c r="F92" t="s">
        <v>1121</v>
      </c>
      <c r="G92" s="552">
        <v>2018</v>
      </c>
      <c r="H92" s="47">
        <v>1</v>
      </c>
      <c r="I92" s="43" t="s">
        <v>1923</v>
      </c>
      <c r="J92" t="s">
        <v>1119</v>
      </c>
      <c r="K92" t="s">
        <v>1119</v>
      </c>
      <c r="M92" s="65">
        <v>13</v>
      </c>
      <c r="N92" s="153">
        <v>1015</v>
      </c>
      <c r="O92" s="30">
        <v>89</v>
      </c>
      <c r="P92" s="30"/>
      <c r="Q92" s="30">
        <f t="shared" si="29"/>
        <v>178</v>
      </c>
      <c r="S92" s="30">
        <f>Q92+S91</f>
        <v>512</v>
      </c>
      <c r="T92" s="47">
        <f t="shared" si="33"/>
        <v>-0.96216096371295545</v>
      </c>
      <c r="V92" s="30">
        <v>26</v>
      </c>
      <c r="W92" s="139">
        <f t="shared" si="31"/>
        <v>0.29213483146067415</v>
      </c>
      <c r="AA92" s="311"/>
      <c r="AD92" s="43" t="s">
        <v>1707</v>
      </c>
      <c r="AE92" s="268" t="s">
        <v>1708</v>
      </c>
      <c r="AF92" s="43" t="s">
        <v>1709</v>
      </c>
      <c r="AG92" s="43" t="s">
        <v>1679</v>
      </c>
      <c r="AH92" s="364">
        <v>39918</v>
      </c>
      <c r="AI92" s="364">
        <v>40029</v>
      </c>
      <c r="AJ92" s="268" t="s">
        <v>1708</v>
      </c>
      <c r="AK92" s="43" t="s">
        <v>1424</v>
      </c>
      <c r="AL92" s="268" t="s">
        <v>1710</v>
      </c>
      <c r="AM92" s="268" t="s">
        <v>1710</v>
      </c>
      <c r="AN92" s="43">
        <v>0.4</v>
      </c>
      <c r="AO92" s="30" t="s">
        <v>1576</v>
      </c>
      <c r="AP92" s="437">
        <v>2557.5</v>
      </c>
      <c r="AQ92" s="43" t="s">
        <v>535</v>
      </c>
      <c r="AR92" s="43" t="s">
        <v>1576</v>
      </c>
      <c r="AS92" s="43" t="s">
        <v>1576</v>
      </c>
      <c r="AT92" s="43" t="s">
        <v>1576</v>
      </c>
      <c r="AU92" s="43" t="s">
        <v>1576</v>
      </c>
      <c r="AV92" s="43" t="s">
        <v>1576</v>
      </c>
      <c r="AW92" s="43">
        <v>380</v>
      </c>
      <c r="AX92" s="43">
        <v>66</v>
      </c>
      <c r="AY92" s="43">
        <v>87</v>
      </c>
      <c r="AZ92" s="43">
        <v>149</v>
      </c>
      <c r="BA92" s="43">
        <v>43</v>
      </c>
      <c r="BB92" s="43">
        <v>0</v>
      </c>
      <c r="BC92" s="43">
        <v>0</v>
      </c>
      <c r="BD92" s="43">
        <f>SUM(AX92:BC92)</f>
        <v>345</v>
      </c>
      <c r="BE92" s="43">
        <v>0</v>
      </c>
      <c r="BF92" s="43">
        <v>2</v>
      </c>
      <c r="BG92" s="43">
        <v>7</v>
      </c>
      <c r="BH92" s="43">
        <v>0</v>
      </c>
      <c r="BI92" s="43">
        <v>0</v>
      </c>
      <c r="BJ92" s="43">
        <v>0</v>
      </c>
      <c r="BK92" s="43">
        <f>SUM(BE92:BJ92)</f>
        <v>9</v>
      </c>
      <c r="BL92" s="43">
        <v>10</v>
      </c>
      <c r="BM92" s="43">
        <v>21</v>
      </c>
      <c r="BN92" s="43">
        <v>29</v>
      </c>
      <c r="BO92" s="43">
        <v>0</v>
      </c>
      <c r="BP92" s="43">
        <v>0</v>
      </c>
      <c r="BQ92" s="43">
        <v>0</v>
      </c>
      <c r="BR92" s="43">
        <f>SUM(BL92:BQ92)</f>
        <v>60</v>
      </c>
      <c r="BS92" s="30">
        <f>SUM(BD92+BK92+BR92)</f>
        <v>414</v>
      </c>
      <c r="CE92" s="30">
        <v>97</v>
      </c>
      <c r="CF92" s="30">
        <v>407</v>
      </c>
      <c r="CG92" s="43" t="s">
        <v>1576</v>
      </c>
      <c r="CH92" s="43">
        <v>35</v>
      </c>
      <c r="CI92" s="372" t="s">
        <v>1576</v>
      </c>
      <c r="CJ92" s="372" t="s">
        <v>1576</v>
      </c>
      <c r="CN92" s="498" t="s">
        <v>1711</v>
      </c>
    </row>
    <row r="93" spans="1:92" ht="16" customHeight="1" outlineLevel="1" x14ac:dyDescent="0.25">
      <c r="A93" s="51"/>
      <c r="B93" s="31"/>
      <c r="C93" t="s">
        <v>1340</v>
      </c>
      <c r="D93" t="s">
        <v>1963</v>
      </c>
      <c r="E93" t="s">
        <v>181</v>
      </c>
      <c r="F93" t="s">
        <v>1917</v>
      </c>
      <c r="G93" s="552"/>
      <c r="H93" s="47">
        <v>0.1</v>
      </c>
      <c r="I93" s="43" t="s">
        <v>1923</v>
      </c>
      <c r="J93" t="s">
        <v>1919</v>
      </c>
      <c r="K93" t="s">
        <v>1919</v>
      </c>
      <c r="M93" s="65"/>
      <c r="N93" s="153"/>
      <c r="O93" s="30"/>
      <c r="P93" s="30"/>
      <c r="Q93" s="30">
        <f t="shared" si="29"/>
        <v>0</v>
      </c>
      <c r="S93" s="30">
        <f>Q93+S92</f>
        <v>512</v>
      </c>
      <c r="T93" s="47">
        <f t="shared" si="33"/>
        <v>-0.96216096371295545</v>
      </c>
      <c r="V93" s="529">
        <f t="shared" ref="V93:V96" si="35">O93*$M$5</f>
        <v>0</v>
      </c>
    </row>
    <row r="94" spans="1:92" ht="16" customHeight="1" outlineLevel="1" x14ac:dyDescent="0.25">
      <c r="A94" s="51"/>
      <c r="B94" s="31"/>
      <c r="C94" t="s">
        <v>1265</v>
      </c>
      <c r="D94" t="s">
        <v>465</v>
      </c>
      <c r="E94" t="s">
        <v>1946</v>
      </c>
      <c r="F94" t="s">
        <v>1917</v>
      </c>
      <c r="G94" s="552">
        <v>2031</v>
      </c>
      <c r="H94" s="47">
        <v>0.9</v>
      </c>
      <c r="I94" s="43" t="s">
        <v>1940</v>
      </c>
      <c r="J94" t="s">
        <v>1919</v>
      </c>
      <c r="K94" t="s">
        <v>1919</v>
      </c>
      <c r="M94" s="65" t="s">
        <v>11</v>
      </c>
      <c r="N94" s="153"/>
      <c r="O94" s="30">
        <f>2213-517</f>
        <v>1696</v>
      </c>
      <c r="P94" s="30"/>
      <c r="Q94" s="30">
        <f t="shared" si="29"/>
        <v>3392</v>
      </c>
      <c r="S94" s="30">
        <f>Q94+S84</f>
        <v>3392</v>
      </c>
      <c r="T94" s="47">
        <f t="shared" si="33"/>
        <v>-0.74931638459832972</v>
      </c>
      <c r="V94" s="529">
        <f t="shared" si="35"/>
        <v>457.92</v>
      </c>
      <c r="W94" s="139">
        <f t="shared" si="31"/>
        <v>0.27</v>
      </c>
      <c r="Y94" t="s">
        <v>1299</v>
      </c>
      <c r="AA94" s="311"/>
    </row>
    <row r="95" spans="1:92" ht="16" customHeight="1" outlineLevel="1" x14ac:dyDescent="0.25">
      <c r="A95" s="51"/>
      <c r="B95" s="31"/>
      <c r="C95" t="s">
        <v>1264</v>
      </c>
      <c r="D95" t="s">
        <v>465</v>
      </c>
      <c r="E95" t="s">
        <v>1946</v>
      </c>
      <c r="F95" t="s">
        <v>1917</v>
      </c>
      <c r="G95" s="552">
        <v>2031</v>
      </c>
      <c r="H95" s="47">
        <v>0.7</v>
      </c>
      <c r="I95" s="43" t="s">
        <v>1940</v>
      </c>
      <c r="J95" t="s">
        <v>1919</v>
      </c>
      <c r="K95" t="s">
        <v>1919</v>
      </c>
      <c r="M95" s="65" t="s">
        <v>11</v>
      </c>
      <c r="N95" s="153"/>
      <c r="O95" s="30">
        <f>2809-607</f>
        <v>2202</v>
      </c>
      <c r="P95" s="30"/>
      <c r="Q95" s="30">
        <f t="shared" si="29"/>
        <v>4404</v>
      </c>
      <c r="S95" s="30">
        <f>Q95+S94</f>
        <v>7796</v>
      </c>
      <c r="T95" s="47">
        <f t="shared" si="33"/>
        <v>-0.42384154903554805</v>
      </c>
      <c r="V95" s="529">
        <f t="shared" si="35"/>
        <v>594.54000000000008</v>
      </c>
      <c r="W95" s="139">
        <f t="shared" si="31"/>
        <v>0.27</v>
      </c>
      <c r="Y95" t="s">
        <v>1299</v>
      </c>
      <c r="AA95" s="311"/>
    </row>
    <row r="96" spans="1:92" ht="16" customHeight="1" outlineLevel="1" x14ac:dyDescent="0.25">
      <c r="A96" s="51"/>
      <c r="B96" s="31"/>
      <c r="C96" t="s">
        <v>1151</v>
      </c>
      <c r="D96" t="s">
        <v>446</v>
      </c>
      <c r="E96" t="s">
        <v>1946</v>
      </c>
      <c r="F96" t="s">
        <v>1121</v>
      </c>
      <c r="G96" s="552">
        <v>2020</v>
      </c>
      <c r="H96" s="47">
        <v>1</v>
      </c>
      <c r="I96" s="43" t="s">
        <v>1940</v>
      </c>
      <c r="J96" t="s">
        <v>1119</v>
      </c>
      <c r="K96" t="s">
        <v>1119</v>
      </c>
      <c r="M96" s="65">
        <v>14</v>
      </c>
      <c r="N96" s="153"/>
      <c r="O96" s="30">
        <v>210</v>
      </c>
      <c r="P96" s="30"/>
      <c r="Q96" s="30">
        <f t="shared" si="29"/>
        <v>420</v>
      </c>
      <c r="S96" s="30">
        <f>Q96+S95</f>
        <v>8216</v>
      </c>
      <c r="T96" s="47">
        <f t="shared" si="33"/>
        <v>-0.39280171458133173</v>
      </c>
      <c r="V96" s="529">
        <f t="shared" si="35"/>
        <v>56.7</v>
      </c>
      <c r="W96" s="139">
        <f t="shared" si="31"/>
        <v>0.27</v>
      </c>
      <c r="Y96" t="s">
        <v>1995</v>
      </c>
      <c r="AA96" s="311"/>
      <c r="BS96" s="30">
        <f>SUM(BD96+BK96+BR96)</f>
        <v>0</v>
      </c>
    </row>
    <row r="97" spans="1:92" x14ac:dyDescent="0.2">
      <c r="G97" s="552"/>
      <c r="N97" s="84"/>
      <c r="O97" s="87"/>
      <c r="P97" s="87"/>
      <c r="Q97" s="87"/>
      <c r="R97" s="84"/>
      <c r="S97" s="87"/>
      <c r="T97" s="87"/>
      <c r="U97" s="84"/>
      <c r="V97" s="84"/>
    </row>
    <row r="98" spans="1:92" ht="6" customHeight="1" x14ac:dyDescent="0.25">
      <c r="A98" s="51"/>
      <c r="B98" s="31"/>
      <c r="G98" s="552"/>
      <c r="M98" s="65"/>
      <c r="N98" s="527"/>
      <c r="O98" s="95"/>
      <c r="P98" s="95"/>
      <c r="Q98" s="95"/>
      <c r="R98" s="84"/>
      <c r="S98" s="95"/>
      <c r="T98" s="511"/>
      <c r="U98" s="84"/>
      <c r="V98" s="95"/>
      <c r="AD98" s="43" t="s">
        <v>1719</v>
      </c>
      <c r="AE98" s="268" t="s">
        <v>1720</v>
      </c>
      <c r="AF98" s="43" t="s">
        <v>1721</v>
      </c>
      <c r="AG98" s="43" t="s">
        <v>1722</v>
      </c>
      <c r="AH98" s="433" t="s">
        <v>1723</v>
      </c>
      <c r="AI98" s="364">
        <v>41298</v>
      </c>
      <c r="AJ98" s="268" t="s">
        <v>1720</v>
      </c>
      <c r="AK98" s="43" t="s">
        <v>1424</v>
      </c>
      <c r="AL98" s="43" t="s">
        <v>1724</v>
      </c>
      <c r="AM98" s="43" t="s">
        <v>1725</v>
      </c>
      <c r="AN98" s="43">
        <v>0.25</v>
      </c>
      <c r="AO98" s="30" t="s">
        <v>1576</v>
      </c>
      <c r="AP98" s="30">
        <v>2103</v>
      </c>
      <c r="AQ98" s="43">
        <v>5</v>
      </c>
      <c r="AR98" s="43">
        <v>67</v>
      </c>
      <c r="AS98" s="43" t="s">
        <v>1576</v>
      </c>
      <c r="AT98" s="43">
        <v>26</v>
      </c>
      <c r="AU98" s="43">
        <v>24</v>
      </c>
      <c r="AV98" s="43">
        <v>17</v>
      </c>
      <c r="AW98" s="43">
        <v>670</v>
      </c>
      <c r="AX98" s="43">
        <v>0</v>
      </c>
      <c r="AY98" s="43">
        <v>56</v>
      </c>
      <c r="AZ98" s="43">
        <v>41</v>
      </c>
      <c r="BA98" s="43">
        <v>34</v>
      </c>
      <c r="BB98" s="43">
        <v>0</v>
      </c>
      <c r="BC98" s="43">
        <v>0</v>
      </c>
      <c r="BD98" s="43">
        <f>SUM(AX98:BC98)</f>
        <v>131</v>
      </c>
      <c r="BE98" s="43">
        <v>6</v>
      </c>
      <c r="BF98" s="43">
        <v>8</v>
      </c>
      <c r="BG98" s="43">
        <v>12</v>
      </c>
      <c r="BH98" s="43">
        <v>2</v>
      </c>
      <c r="BI98" s="43">
        <v>2</v>
      </c>
      <c r="BJ98" s="43">
        <v>0</v>
      </c>
      <c r="BK98" s="43">
        <f>SUM(BE98:BJ98)</f>
        <v>30</v>
      </c>
      <c r="BL98" s="43">
        <v>0</v>
      </c>
      <c r="BM98" s="43">
        <v>16</v>
      </c>
      <c r="BN98" s="43">
        <v>9</v>
      </c>
      <c r="BO98" s="43">
        <v>4</v>
      </c>
      <c r="BP98" s="43">
        <v>0</v>
      </c>
      <c r="BQ98" s="43">
        <v>0</v>
      </c>
      <c r="BR98" s="43">
        <f>SUM(BL98:BQ98)</f>
        <v>29</v>
      </c>
      <c r="BS98" s="30">
        <f>SUM(BD98+BK98+BR98)</f>
        <v>190</v>
      </c>
      <c r="CE98" s="30">
        <v>42</v>
      </c>
      <c r="CF98" s="30">
        <v>244</v>
      </c>
      <c r="CG98" s="43" t="s">
        <v>1576</v>
      </c>
      <c r="CH98" s="43">
        <v>26</v>
      </c>
      <c r="CI98" s="372" t="s">
        <v>1726</v>
      </c>
      <c r="CJ98" s="372" t="s">
        <v>1727</v>
      </c>
      <c r="CN98" s="425" t="s">
        <v>1728</v>
      </c>
    </row>
    <row r="99" spans="1:92" ht="20" customHeight="1" x14ac:dyDescent="0.25">
      <c r="A99" s="51"/>
      <c r="B99" s="32"/>
      <c r="C99" s="31" t="s">
        <v>1917</v>
      </c>
      <c r="D99" s="241"/>
      <c r="E99" s="507"/>
      <c r="F99" s="241"/>
      <c r="G99" s="563"/>
      <c r="H99" s="31"/>
      <c r="I99" s="241"/>
      <c r="M99" s="66"/>
      <c r="N99" s="528"/>
      <c r="O99" s="36">
        <f t="shared" ref="O99:O104" si="36">SUMIF($F$75:$F$97,C99,$O$75:$O$97)</f>
        <v>7234</v>
      </c>
      <c r="P99" s="36">
        <f t="shared" ref="P99:P104" si="37">SUMIF($F$75:$F$97,C99,$P$75:$P$97)</f>
        <v>0</v>
      </c>
      <c r="Q99" s="36">
        <f t="shared" ref="Q99:Q104" si="38">SUMIF($F$75:$F$97,C99,$Q$75:$Q$97)</f>
        <v>14468</v>
      </c>
      <c r="R99" s="36">
        <f t="shared" ref="R99:T104" si="39">SUMIF($F$21:$F$42,F99,$O$21:$O$42)</f>
        <v>0</v>
      </c>
      <c r="S99" s="36">
        <f t="shared" si="39"/>
        <v>0</v>
      </c>
      <c r="T99" s="36">
        <f t="shared" si="39"/>
        <v>0</v>
      </c>
      <c r="U99" s="84"/>
      <c r="V99" s="36">
        <f t="shared" ref="V99:V104" si="40">SUMIF($F$75:$F$97,C99,$V$75:$V$97)</f>
        <v>1953.1800000000003</v>
      </c>
      <c r="W99" s="139">
        <f t="shared" ref="W99:W104" si="41">V99/O99</f>
        <v>0.27</v>
      </c>
      <c r="AD99" s="43" t="s">
        <v>1729</v>
      </c>
      <c r="AE99" s="268" t="s">
        <v>1730</v>
      </c>
      <c r="AF99" s="43" t="s">
        <v>1731</v>
      </c>
      <c r="AG99" s="43" t="s">
        <v>1679</v>
      </c>
      <c r="AH99" s="364">
        <v>41907</v>
      </c>
      <c r="AI99" s="364">
        <v>41907</v>
      </c>
      <c r="AJ99" s="43" t="s">
        <v>1732</v>
      </c>
      <c r="AK99" s="43" t="s">
        <v>1733</v>
      </c>
      <c r="AL99" s="268" t="s">
        <v>1734</v>
      </c>
      <c r="AM99" s="268" t="s">
        <v>1734</v>
      </c>
      <c r="AN99" s="43">
        <v>0.28999999999999998</v>
      </c>
      <c r="AO99" s="30">
        <v>462</v>
      </c>
      <c r="AP99" s="30">
        <v>1320</v>
      </c>
      <c r="AQ99" s="43">
        <v>4</v>
      </c>
      <c r="AR99" s="43" t="s">
        <v>1576</v>
      </c>
      <c r="AS99" s="43" t="s">
        <v>1576</v>
      </c>
      <c r="AT99" s="43" t="s">
        <v>1576</v>
      </c>
      <c r="AU99" s="43" t="s">
        <v>1576</v>
      </c>
      <c r="AV99" s="43" t="s">
        <v>1576</v>
      </c>
      <c r="AW99" s="43">
        <v>436</v>
      </c>
      <c r="BD99" s="43">
        <v>93</v>
      </c>
      <c r="BF99" s="43">
        <v>1</v>
      </c>
      <c r="BH99" s="43">
        <v>8</v>
      </c>
      <c r="BI99" s="43">
        <v>2</v>
      </c>
      <c r="BK99" s="43">
        <v>20</v>
      </c>
      <c r="BR99" s="43">
        <v>21</v>
      </c>
      <c r="BS99" s="30">
        <f>SUM(BD99+BK99+BR99)</f>
        <v>134</v>
      </c>
      <c r="CE99" s="30">
        <v>14</v>
      </c>
      <c r="CF99" s="30">
        <v>168</v>
      </c>
      <c r="CG99" s="43" t="s">
        <v>1576</v>
      </c>
      <c r="CH99" s="43">
        <v>23</v>
      </c>
      <c r="CI99" s="372" t="s">
        <v>1735</v>
      </c>
      <c r="CJ99" s="372" t="s">
        <v>1736</v>
      </c>
      <c r="CN99" s="425" t="s">
        <v>1737</v>
      </c>
    </row>
    <row r="100" spans="1:92" ht="21" x14ac:dyDescent="0.25">
      <c r="A100" s="51"/>
      <c r="B100" s="32"/>
      <c r="C100" s="31" t="s">
        <v>1929</v>
      </c>
      <c r="D100" s="241"/>
      <c r="E100" s="507"/>
      <c r="F100" s="241"/>
      <c r="G100" s="563"/>
      <c r="H100" s="31"/>
      <c r="I100" s="241"/>
      <c r="M100" s="66"/>
      <c r="N100" s="186"/>
      <c r="O100" s="36">
        <f t="shared" si="36"/>
        <v>336</v>
      </c>
      <c r="P100" s="36">
        <f t="shared" si="37"/>
        <v>0</v>
      </c>
      <c r="Q100" s="36">
        <f t="shared" si="38"/>
        <v>672</v>
      </c>
      <c r="R100" s="36">
        <f t="shared" si="39"/>
        <v>0</v>
      </c>
      <c r="S100" s="36">
        <f t="shared" si="39"/>
        <v>0</v>
      </c>
      <c r="T100" s="36">
        <f t="shared" si="39"/>
        <v>0</v>
      </c>
      <c r="U100" s="84"/>
      <c r="V100" s="36">
        <f t="shared" si="40"/>
        <v>90.72</v>
      </c>
      <c r="W100" s="139">
        <f t="shared" si="41"/>
        <v>0.27</v>
      </c>
      <c r="AL100" s="268"/>
      <c r="AM100" s="268"/>
      <c r="CN100" s="498"/>
    </row>
    <row r="101" spans="1:92" ht="21" x14ac:dyDescent="0.25">
      <c r="A101" s="51"/>
      <c r="B101" s="32"/>
      <c r="C101" s="31" t="s">
        <v>412</v>
      </c>
      <c r="D101" s="241"/>
      <c r="E101" s="507"/>
      <c r="F101" s="241"/>
      <c r="G101" s="563"/>
      <c r="H101" s="31"/>
      <c r="I101" s="241"/>
      <c r="M101" s="66"/>
      <c r="N101" s="186"/>
      <c r="O101" s="36">
        <f t="shared" si="36"/>
        <v>1218</v>
      </c>
      <c r="P101" s="36">
        <f t="shared" si="37"/>
        <v>0</v>
      </c>
      <c r="Q101" s="36">
        <f t="shared" si="38"/>
        <v>2436</v>
      </c>
      <c r="R101" s="36">
        <f t="shared" si="39"/>
        <v>0</v>
      </c>
      <c r="S101" s="36">
        <f t="shared" si="39"/>
        <v>0</v>
      </c>
      <c r="T101" s="36">
        <f t="shared" si="39"/>
        <v>0</v>
      </c>
      <c r="U101" s="84"/>
      <c r="V101" s="36">
        <f t="shared" si="40"/>
        <v>357.08000000000004</v>
      </c>
      <c r="W101" s="139">
        <f t="shared" si="41"/>
        <v>0.2931691297208539</v>
      </c>
      <c r="AL101" s="268"/>
      <c r="AM101" s="268"/>
      <c r="CN101" s="498"/>
    </row>
    <row r="102" spans="1:92" ht="21" x14ac:dyDescent="0.25">
      <c r="A102" s="51"/>
      <c r="B102" s="32"/>
      <c r="C102" s="31" t="s">
        <v>1927</v>
      </c>
      <c r="D102" s="241"/>
      <c r="E102" s="507"/>
      <c r="F102" s="241"/>
      <c r="G102" s="563"/>
      <c r="H102" s="31"/>
      <c r="I102" s="241"/>
      <c r="M102" s="66"/>
      <c r="N102" s="186"/>
      <c r="O102" s="36">
        <f t="shared" si="36"/>
        <v>338</v>
      </c>
      <c r="P102" s="36">
        <f t="shared" si="37"/>
        <v>0</v>
      </c>
      <c r="Q102" s="36">
        <f t="shared" si="38"/>
        <v>676</v>
      </c>
      <c r="R102" s="36">
        <f t="shared" si="39"/>
        <v>0</v>
      </c>
      <c r="S102" s="36">
        <f t="shared" si="39"/>
        <v>0</v>
      </c>
      <c r="T102" s="36">
        <f t="shared" si="39"/>
        <v>0</v>
      </c>
      <c r="U102" s="84"/>
      <c r="V102" s="36">
        <f t="shared" si="40"/>
        <v>96</v>
      </c>
      <c r="W102" s="139">
        <f t="shared" si="41"/>
        <v>0.28402366863905326</v>
      </c>
      <c r="AL102" s="268"/>
      <c r="AM102" s="268"/>
      <c r="CN102" s="498"/>
    </row>
    <row r="103" spans="1:92" ht="21" x14ac:dyDescent="0.25">
      <c r="A103" s="51"/>
      <c r="B103" s="32"/>
      <c r="C103" s="31" t="s">
        <v>1121</v>
      </c>
      <c r="D103" s="241"/>
      <c r="E103" s="507"/>
      <c r="F103" s="241"/>
      <c r="G103" s="563"/>
      <c r="H103" s="31"/>
      <c r="I103" s="241"/>
      <c r="M103" s="66"/>
      <c r="N103" s="186"/>
      <c r="O103" s="36">
        <f t="shared" si="36"/>
        <v>6656</v>
      </c>
      <c r="P103" s="36">
        <f t="shared" si="37"/>
        <v>300</v>
      </c>
      <c r="Q103" s="36">
        <f t="shared" si="38"/>
        <v>13312</v>
      </c>
      <c r="R103" s="36">
        <f t="shared" si="39"/>
        <v>0</v>
      </c>
      <c r="S103" s="36">
        <f t="shared" si="39"/>
        <v>0</v>
      </c>
      <c r="T103" s="36">
        <f t="shared" si="39"/>
        <v>0</v>
      </c>
      <c r="U103" s="84"/>
      <c r="V103" s="36">
        <f t="shared" si="40"/>
        <v>1525.09</v>
      </c>
      <c r="W103" s="139">
        <f t="shared" si="41"/>
        <v>0.22913010817307691</v>
      </c>
      <c r="AL103" s="268"/>
      <c r="AM103" s="268"/>
      <c r="CN103" s="498"/>
    </row>
    <row r="104" spans="1:92" ht="21" x14ac:dyDescent="0.25">
      <c r="A104" s="51"/>
      <c r="B104" s="32"/>
      <c r="C104" s="31" t="s">
        <v>387</v>
      </c>
      <c r="D104" s="241"/>
      <c r="E104" s="507"/>
      <c r="F104" s="241"/>
      <c r="G104" s="563"/>
      <c r="H104" s="31"/>
      <c r="I104" s="241"/>
      <c r="M104" s="66"/>
      <c r="N104" s="186"/>
      <c r="O104" s="36">
        <f t="shared" si="36"/>
        <v>697</v>
      </c>
      <c r="P104" s="36">
        <f t="shared" si="37"/>
        <v>0</v>
      </c>
      <c r="Q104" s="36">
        <f t="shared" si="38"/>
        <v>1394</v>
      </c>
      <c r="R104" s="36">
        <f t="shared" si="39"/>
        <v>0</v>
      </c>
      <c r="S104" s="36">
        <f t="shared" si="39"/>
        <v>0</v>
      </c>
      <c r="T104" s="36">
        <f t="shared" si="39"/>
        <v>0</v>
      </c>
      <c r="U104" s="84"/>
      <c r="V104" s="36">
        <f t="shared" si="40"/>
        <v>153.89000000000001</v>
      </c>
      <c r="W104" s="139">
        <f t="shared" si="41"/>
        <v>0.22078909612625541</v>
      </c>
      <c r="AL104" s="268"/>
      <c r="AM104" s="268"/>
      <c r="CN104" s="498"/>
    </row>
    <row r="105" spans="1:92" ht="21" x14ac:dyDescent="0.25">
      <c r="A105" s="51"/>
      <c r="B105" s="32"/>
      <c r="C105" s="31"/>
      <c r="D105" s="31"/>
      <c r="E105" s="31"/>
      <c r="F105" s="31"/>
      <c r="G105" s="560"/>
      <c r="H105" s="507"/>
      <c r="I105" s="241"/>
      <c r="J105" s="31"/>
      <c r="K105" s="31"/>
      <c r="L105" s="241"/>
      <c r="M105" s="66"/>
      <c r="N105" s="186"/>
      <c r="O105" s="53"/>
      <c r="P105" s="53"/>
      <c r="Q105" s="53"/>
      <c r="V105" s="44"/>
      <c r="AL105" s="268"/>
      <c r="AM105" s="268"/>
      <c r="CN105" s="498"/>
    </row>
    <row r="106" spans="1:92" ht="21" customHeight="1" x14ac:dyDescent="0.25">
      <c r="A106" s="51"/>
      <c r="B106" s="32"/>
      <c r="C106" s="31" t="s">
        <v>1972</v>
      </c>
      <c r="D106" s="31"/>
      <c r="E106" s="31"/>
      <c r="F106" s="31"/>
      <c r="G106" s="560"/>
      <c r="H106" s="507"/>
      <c r="I106" s="241"/>
      <c r="J106" s="31"/>
      <c r="K106" s="31"/>
      <c r="L106" s="241"/>
      <c r="M106" s="66"/>
      <c r="N106" s="186"/>
      <c r="O106" s="266">
        <f>SUM(O99:O105)</f>
        <v>16479</v>
      </c>
      <c r="P106" s="266">
        <f t="shared" ref="P106:V106" si="42">SUM(P99:P105)</f>
        <v>300</v>
      </c>
      <c r="Q106" s="266">
        <f t="shared" si="42"/>
        <v>32958</v>
      </c>
      <c r="R106" s="266">
        <f t="shared" si="42"/>
        <v>0</v>
      </c>
      <c r="S106" s="266">
        <f t="shared" si="42"/>
        <v>0</v>
      </c>
      <c r="T106" s="266">
        <f t="shared" si="42"/>
        <v>0</v>
      </c>
      <c r="V106" s="266">
        <f t="shared" si="42"/>
        <v>4175.9600000000009</v>
      </c>
      <c r="W106" s="139">
        <f t="shared" ref="W106:W107" si="43">V106/O106</f>
        <v>0.25341100794951155</v>
      </c>
      <c r="AD106" s="43" t="s">
        <v>1739</v>
      </c>
      <c r="AE106" s="268" t="s">
        <v>1740</v>
      </c>
      <c r="AF106" s="43" t="s">
        <v>1678</v>
      </c>
      <c r="AG106" s="43" t="s">
        <v>1741</v>
      </c>
      <c r="AH106" s="364">
        <v>40974</v>
      </c>
      <c r="AI106" s="364">
        <v>40974</v>
      </c>
      <c r="AJ106" s="268" t="s">
        <v>1740</v>
      </c>
      <c r="AK106" s="43" t="s">
        <v>1424</v>
      </c>
      <c r="AL106" s="268" t="s">
        <v>1742</v>
      </c>
      <c r="AM106" s="268" t="s">
        <v>1743</v>
      </c>
      <c r="AO106" s="30" t="s">
        <v>1576</v>
      </c>
      <c r="AP106" s="30">
        <v>1122</v>
      </c>
      <c r="AQ106" s="43">
        <v>3</v>
      </c>
      <c r="AR106" s="43" t="s">
        <v>1576</v>
      </c>
      <c r="AS106" s="43">
        <v>12</v>
      </c>
      <c r="AT106" s="43">
        <v>12</v>
      </c>
      <c r="AU106" s="43" t="s">
        <v>1576</v>
      </c>
      <c r="AV106" s="43" t="s">
        <v>1576</v>
      </c>
      <c r="AW106" s="43">
        <v>120</v>
      </c>
      <c r="AX106" s="43">
        <v>15</v>
      </c>
      <c r="AY106" s="43">
        <v>40</v>
      </c>
      <c r="AZ106" s="43">
        <v>38</v>
      </c>
      <c r="BA106" s="43">
        <v>17</v>
      </c>
      <c r="BB106" s="43">
        <v>1</v>
      </c>
      <c r="BC106" s="43">
        <v>0</v>
      </c>
      <c r="BD106" s="43">
        <f>SUM(AX106:BC106)</f>
        <v>111</v>
      </c>
      <c r="BE106" s="43">
        <v>0</v>
      </c>
      <c r="BF106" s="43">
        <v>0</v>
      </c>
      <c r="BG106" s="43">
        <v>0</v>
      </c>
      <c r="BH106" s="43">
        <v>0</v>
      </c>
      <c r="BI106" s="43">
        <v>0</v>
      </c>
      <c r="BJ106" s="43">
        <v>0</v>
      </c>
      <c r="BK106" s="43">
        <f>SUM(BE106:BJ106)</f>
        <v>0</v>
      </c>
      <c r="BL106" s="43">
        <v>0</v>
      </c>
      <c r="BM106" s="43">
        <v>8</v>
      </c>
      <c r="BN106" s="43">
        <v>2</v>
      </c>
      <c r="BO106" s="43">
        <v>0</v>
      </c>
      <c r="BP106" s="43">
        <v>0</v>
      </c>
      <c r="BQ106" s="43">
        <v>0</v>
      </c>
      <c r="BR106" s="43">
        <f>SUM(BL106:BQ106)</f>
        <v>10</v>
      </c>
      <c r="BS106" s="30">
        <f t="shared" ref="BS106:BS108" si="44">SUM(BD106+BK106+BR106)</f>
        <v>121</v>
      </c>
      <c r="CE106" s="30">
        <v>36</v>
      </c>
      <c r="CF106" s="30">
        <v>195</v>
      </c>
      <c r="CG106" s="43" t="s">
        <v>1576</v>
      </c>
      <c r="CH106" s="43">
        <v>31</v>
      </c>
      <c r="CI106" s="372" t="s">
        <v>1744</v>
      </c>
      <c r="CJ106" s="372" t="s">
        <v>1576</v>
      </c>
      <c r="CN106" s="425" t="s">
        <v>1745</v>
      </c>
    </row>
    <row r="107" spans="1:92" ht="24" customHeight="1" thickBot="1" x14ac:dyDescent="0.3">
      <c r="A107" s="51"/>
      <c r="B107" s="31" t="s">
        <v>202</v>
      </c>
      <c r="G107" s="552"/>
      <c r="N107" s="60"/>
      <c r="O107" s="50">
        <f>O106+O68</f>
        <v>22706</v>
      </c>
      <c r="P107" s="50">
        <f t="shared" ref="P107:V107" si="45">P106+P68</f>
        <v>300</v>
      </c>
      <c r="Q107" s="50">
        <f>Q106+Q68</f>
        <v>46489</v>
      </c>
      <c r="R107" s="50">
        <f t="shared" si="45"/>
        <v>2.1729564798458325</v>
      </c>
      <c r="S107" s="50" t="e">
        <f t="shared" si="45"/>
        <v>#VALUE!</v>
      </c>
      <c r="T107" s="50">
        <f t="shared" si="45"/>
        <v>0</v>
      </c>
      <c r="V107" s="50">
        <f t="shared" si="45"/>
        <v>6431.9600000000009</v>
      </c>
      <c r="W107" s="139">
        <f t="shared" si="43"/>
        <v>0.28327138201356472</v>
      </c>
      <c r="Y107" s="254"/>
      <c r="AJ107" s="268"/>
      <c r="AL107" s="268"/>
      <c r="AM107" s="268"/>
      <c r="AX107" s="43">
        <v>15</v>
      </c>
      <c r="AY107" s="43">
        <v>40</v>
      </c>
      <c r="AZ107" s="43">
        <v>39</v>
      </c>
      <c r="BA107" s="43">
        <v>21</v>
      </c>
      <c r="BB107" s="43">
        <v>1</v>
      </c>
      <c r="BC107" s="43">
        <v>0</v>
      </c>
      <c r="BD107" s="43">
        <f>SUM(AX107:BC107)</f>
        <v>116</v>
      </c>
      <c r="BE107" s="43">
        <v>0</v>
      </c>
      <c r="BF107" s="43">
        <v>9</v>
      </c>
      <c r="BG107" s="43">
        <v>6</v>
      </c>
      <c r="BH107" s="43">
        <v>22</v>
      </c>
      <c r="BI107" s="43">
        <v>4</v>
      </c>
      <c r="BJ107" s="43">
        <v>2</v>
      </c>
      <c r="BK107" s="43">
        <f>SUM(BE107:BJ107)</f>
        <v>43</v>
      </c>
      <c r="BL107" s="43">
        <v>0</v>
      </c>
      <c r="BM107" s="43">
        <v>18</v>
      </c>
      <c r="BN107" s="43">
        <v>4</v>
      </c>
      <c r="BO107" s="43">
        <v>4</v>
      </c>
      <c r="BP107" s="43">
        <v>0</v>
      </c>
      <c r="BQ107" s="43">
        <v>0</v>
      </c>
      <c r="BR107" s="43">
        <f>SUM(BL107:BQ107)</f>
        <v>26</v>
      </c>
      <c r="BS107" s="30">
        <f t="shared" si="44"/>
        <v>185</v>
      </c>
      <c r="CI107" s="372" t="s">
        <v>1747</v>
      </c>
      <c r="CN107" s="425" t="s">
        <v>1748</v>
      </c>
    </row>
    <row r="108" spans="1:92" ht="24" customHeight="1" thickTop="1" x14ac:dyDescent="0.25">
      <c r="A108" s="51"/>
      <c r="B108" s="68" t="s">
        <v>216</v>
      </c>
      <c r="G108" s="552"/>
      <c r="N108" s="60"/>
      <c r="O108" s="30"/>
      <c r="P108" s="30"/>
      <c r="Q108" s="30"/>
      <c r="V108" s="30"/>
      <c r="AD108" s="43" t="s">
        <v>1750</v>
      </c>
      <c r="AE108" s="268" t="s">
        <v>1751</v>
      </c>
      <c r="AF108" s="43" t="s">
        <v>1678</v>
      </c>
      <c r="AG108" s="43" t="s">
        <v>1752</v>
      </c>
      <c r="AH108" s="364">
        <v>40974</v>
      </c>
      <c r="AI108" s="364">
        <v>40974</v>
      </c>
      <c r="AJ108" s="268" t="s">
        <v>1753</v>
      </c>
      <c r="AK108" s="43" t="s">
        <v>1754</v>
      </c>
      <c r="AL108" s="268" t="s">
        <v>1755</v>
      </c>
      <c r="AM108" s="268" t="s">
        <v>1755</v>
      </c>
      <c r="AO108" s="30" t="s">
        <v>1576</v>
      </c>
      <c r="AP108" s="30">
        <v>858</v>
      </c>
      <c r="AQ108" s="43" t="s">
        <v>1590</v>
      </c>
      <c r="AR108" s="43" t="s">
        <v>1576</v>
      </c>
      <c r="AS108" s="43" t="s">
        <v>1576</v>
      </c>
      <c r="AT108" s="43" t="s">
        <v>1576</v>
      </c>
      <c r="AU108" s="43" t="s">
        <v>1576</v>
      </c>
      <c r="AV108" s="43" t="s">
        <v>1576</v>
      </c>
      <c r="AW108" s="43" t="s">
        <v>1576</v>
      </c>
      <c r="AX108" s="43">
        <v>0</v>
      </c>
      <c r="AY108" s="43">
        <v>1</v>
      </c>
      <c r="AZ108" s="43">
        <v>0</v>
      </c>
      <c r="BA108" s="43">
        <v>4</v>
      </c>
      <c r="BB108" s="43">
        <v>0</v>
      </c>
      <c r="BC108" s="43">
        <v>0</v>
      </c>
      <c r="BD108" s="43">
        <f>SUM(AX108:BC108)</f>
        <v>5</v>
      </c>
      <c r="BE108" s="43">
        <v>0</v>
      </c>
      <c r="BF108" s="43">
        <v>9</v>
      </c>
      <c r="BG108" s="43">
        <v>6</v>
      </c>
      <c r="BH108" s="43">
        <v>22</v>
      </c>
      <c r="BI108" s="43">
        <v>4</v>
      </c>
      <c r="BJ108" s="43">
        <v>2</v>
      </c>
      <c r="BK108" s="43">
        <f>SUM(BE108:BJ108)</f>
        <v>43</v>
      </c>
      <c r="BL108" s="43">
        <v>0</v>
      </c>
      <c r="BM108" s="43">
        <v>10</v>
      </c>
      <c r="BN108" s="43">
        <v>2</v>
      </c>
      <c r="BO108" s="43">
        <v>4</v>
      </c>
      <c r="BP108" s="43">
        <v>0</v>
      </c>
      <c r="BQ108" s="43">
        <v>0</v>
      </c>
      <c r="BR108" s="43">
        <f>SUM(BL108:BQ108)</f>
        <v>16</v>
      </c>
      <c r="BS108" s="30">
        <f t="shared" si="44"/>
        <v>64</v>
      </c>
      <c r="CE108" s="30">
        <v>10</v>
      </c>
      <c r="CF108" s="30">
        <v>78</v>
      </c>
      <c r="CG108" s="43">
        <v>31</v>
      </c>
      <c r="CH108" s="43">
        <v>8</v>
      </c>
      <c r="CI108" s="372" t="s">
        <v>1756</v>
      </c>
      <c r="CJ108" s="372" t="s">
        <v>1576</v>
      </c>
      <c r="CN108" s="425" t="s">
        <v>1757</v>
      </c>
    </row>
    <row r="109" spans="1:92" x14ac:dyDescent="0.2">
      <c r="G109" s="552"/>
    </row>
    <row r="110" spans="1:92" x14ac:dyDescent="0.2">
      <c r="C110" t="s">
        <v>2036</v>
      </c>
      <c r="D110" t="s">
        <v>2037</v>
      </c>
      <c r="E110" t="s">
        <v>1945</v>
      </c>
      <c r="F110" t="s">
        <v>1937</v>
      </c>
      <c r="G110" s="552">
        <v>2031</v>
      </c>
      <c r="H110" s="47">
        <v>0.1</v>
      </c>
      <c r="J110" t="s">
        <v>1919</v>
      </c>
      <c r="K110" t="s">
        <v>1919</v>
      </c>
      <c r="O110" s="43">
        <v>200</v>
      </c>
      <c r="Q110" s="30">
        <f t="shared" ref="Q110:Q112" si="46">O110*$M$4</f>
        <v>400</v>
      </c>
      <c r="S110" s="30">
        <f t="shared" ref="S110" si="47">Q110+S94</f>
        <v>3792</v>
      </c>
      <c r="T110" s="47">
        <f t="shared" ref="T110:T112" si="48">S110/$Q$10-1</f>
        <v>-0.69663999999999993</v>
      </c>
      <c r="V110" s="529">
        <f t="shared" ref="V110:V112" si="49">O110*$M$5</f>
        <v>54</v>
      </c>
      <c r="W110" s="139">
        <f t="shared" ref="W110:W113" si="50">V110/O110</f>
        <v>0.27</v>
      </c>
    </row>
    <row r="111" spans="1:92" x14ac:dyDescent="0.2">
      <c r="C111" t="s">
        <v>2054</v>
      </c>
      <c r="D111" t="s">
        <v>2056</v>
      </c>
      <c r="E111" t="s">
        <v>2055</v>
      </c>
      <c r="F111" t="s">
        <v>1937</v>
      </c>
      <c r="G111" s="552">
        <v>2031</v>
      </c>
      <c r="H111" s="47">
        <v>0.2</v>
      </c>
      <c r="J111" t="s">
        <v>1919</v>
      </c>
      <c r="K111" t="s">
        <v>1919</v>
      </c>
      <c r="O111" s="43">
        <v>708</v>
      </c>
      <c r="Q111" s="30">
        <f t="shared" ref="Q111" si="51">O111*$M$4</f>
        <v>1416</v>
      </c>
      <c r="S111" s="30">
        <f t="shared" ref="S111" si="52">Q111+S95</f>
        <v>9212</v>
      </c>
      <c r="T111" s="47">
        <f t="shared" ref="T111" si="53">S111/$Q$10-1</f>
        <v>-0.26304000000000005</v>
      </c>
      <c r="V111" s="529">
        <f t="shared" ref="V111" si="54">O111*$M$5</f>
        <v>191.16000000000003</v>
      </c>
      <c r="W111" s="139">
        <f t="shared" ref="W111" si="55">V111/O111</f>
        <v>0.27</v>
      </c>
    </row>
    <row r="112" spans="1:92" x14ac:dyDescent="0.2">
      <c r="C112" t="s">
        <v>2035</v>
      </c>
      <c r="D112" t="s">
        <v>2037</v>
      </c>
      <c r="E112" t="s">
        <v>1947</v>
      </c>
      <c r="F112" t="s">
        <v>1937</v>
      </c>
      <c r="G112" s="552">
        <v>2031</v>
      </c>
      <c r="H112" s="47">
        <v>0.2</v>
      </c>
      <c r="J112" t="s">
        <v>1919</v>
      </c>
      <c r="K112" t="s">
        <v>1919</v>
      </c>
      <c r="O112" s="43">
        <v>200</v>
      </c>
      <c r="Q112" s="30">
        <f t="shared" si="46"/>
        <v>400</v>
      </c>
      <c r="S112" s="30">
        <f>Q112+S95</f>
        <v>8196</v>
      </c>
      <c r="T112" s="47">
        <f t="shared" si="48"/>
        <v>-0.34431999999999996</v>
      </c>
      <c r="V112" s="529">
        <f t="shared" si="49"/>
        <v>54</v>
      </c>
      <c r="W112" s="139">
        <f t="shared" si="50"/>
        <v>0.27</v>
      </c>
    </row>
    <row r="113" spans="1:92" ht="21" outlineLevel="1" x14ac:dyDescent="0.25">
      <c r="A113" s="51"/>
      <c r="B113" s="31"/>
      <c r="C113" s="175" t="s">
        <v>478</v>
      </c>
      <c r="D113" t="s">
        <v>1990</v>
      </c>
      <c r="E113" t="s">
        <v>196</v>
      </c>
      <c r="F113" t="s">
        <v>1937</v>
      </c>
      <c r="G113" s="552">
        <v>2031</v>
      </c>
      <c r="H113" s="47">
        <v>0.2</v>
      </c>
      <c r="J113" t="s">
        <v>1919</v>
      </c>
      <c r="K113" t="s">
        <v>1919</v>
      </c>
      <c r="N113" s="60"/>
      <c r="O113" s="30">
        <v>700</v>
      </c>
      <c r="P113" s="30"/>
      <c r="Q113" s="30">
        <f>O113*$M$4</f>
        <v>1400</v>
      </c>
      <c r="S113" s="30">
        <f>Q113+S96</f>
        <v>9616</v>
      </c>
      <c r="T113" s="47">
        <f>S113/$Q$10-1</f>
        <v>-0.23072000000000004</v>
      </c>
      <c r="V113" s="529">
        <f t="shared" ref="V113" si="56">O113*$M$5</f>
        <v>189</v>
      </c>
      <c r="W113" s="139">
        <f t="shared" si="50"/>
        <v>0.27</v>
      </c>
    </row>
    <row r="114" spans="1:92" ht="10" customHeight="1" x14ac:dyDescent="0.25">
      <c r="A114" s="51"/>
      <c r="B114" s="31"/>
      <c r="G114" s="552"/>
      <c r="N114" s="60"/>
      <c r="O114" s="30"/>
      <c r="P114" s="30"/>
      <c r="Q114" s="30"/>
      <c r="S114" s="30"/>
      <c r="T114" s="47"/>
      <c r="V114" s="96"/>
    </row>
    <row r="115" spans="1:92" ht="21" customHeight="1" x14ac:dyDescent="0.25">
      <c r="A115" s="51"/>
      <c r="C115" s="31" t="s">
        <v>210</v>
      </c>
      <c r="D115" s="31"/>
      <c r="E115" s="31"/>
      <c r="F115" s="31"/>
      <c r="G115" s="560"/>
      <c r="H115" s="507"/>
      <c r="I115" s="241"/>
      <c r="J115" s="31"/>
      <c r="K115" s="31"/>
      <c r="L115" s="241"/>
      <c r="M115" s="31"/>
      <c r="N115" s="137"/>
      <c r="O115" s="46">
        <f t="shared" ref="O115:T115" si="57">O107+O113</f>
        <v>23406</v>
      </c>
      <c r="P115" s="46">
        <f t="shared" si="57"/>
        <v>300</v>
      </c>
      <c r="Q115" s="46">
        <f t="shared" si="57"/>
        <v>47889</v>
      </c>
      <c r="R115" s="46">
        <f t="shared" si="57"/>
        <v>2.1729564798458325</v>
      </c>
      <c r="S115" s="46" t="e">
        <f t="shared" si="57"/>
        <v>#VALUE!</v>
      </c>
      <c r="T115" s="46">
        <f t="shared" si="57"/>
        <v>-0.23072000000000004</v>
      </c>
      <c r="V115" s="46">
        <f>V107+V113</f>
        <v>6620.9600000000009</v>
      </c>
      <c r="W115" s="139">
        <f t="shared" ref="W115" si="58">V115/O115</f>
        <v>0.28287447662992399</v>
      </c>
      <c r="AD115" s="43" t="s">
        <v>1766</v>
      </c>
      <c r="AE115" s="268" t="s">
        <v>1767</v>
      </c>
      <c r="AF115" s="43" t="s">
        <v>1768</v>
      </c>
      <c r="AG115" s="43" t="s">
        <v>1679</v>
      </c>
      <c r="AH115" s="364" t="s">
        <v>1769</v>
      </c>
      <c r="AI115" s="364">
        <v>41339</v>
      </c>
      <c r="AJ115" s="268" t="s">
        <v>1767</v>
      </c>
      <c r="AK115" s="43" t="s">
        <v>1424</v>
      </c>
      <c r="AL115" s="268" t="s">
        <v>1770</v>
      </c>
      <c r="AM115" s="43" t="s">
        <v>1690</v>
      </c>
      <c r="AN115" s="43">
        <v>7.7</v>
      </c>
      <c r="AO115" s="30" t="s">
        <v>1576</v>
      </c>
      <c r="AP115" s="30">
        <v>847</v>
      </c>
      <c r="AQ115" s="43" t="s">
        <v>1568</v>
      </c>
      <c r="AR115" s="43" t="s">
        <v>1576</v>
      </c>
      <c r="AS115" s="43">
        <v>879</v>
      </c>
      <c r="AT115" s="43" t="s">
        <v>1576</v>
      </c>
      <c r="AU115" s="43" t="s">
        <v>1576</v>
      </c>
      <c r="AV115" s="43" t="s">
        <v>1576</v>
      </c>
      <c r="AW115" s="43">
        <v>8315</v>
      </c>
      <c r="AX115" s="43">
        <v>0</v>
      </c>
      <c r="AY115" s="43">
        <v>227</v>
      </c>
      <c r="AZ115" s="43">
        <v>558</v>
      </c>
      <c r="BA115" s="43">
        <v>92</v>
      </c>
      <c r="BB115" s="43">
        <v>0</v>
      </c>
      <c r="BC115" s="43">
        <v>0</v>
      </c>
      <c r="BD115" s="43">
        <f>SUM(AX115:BC115)</f>
        <v>877</v>
      </c>
      <c r="BE115" s="43">
        <v>0</v>
      </c>
      <c r="BF115" s="43">
        <v>99</v>
      </c>
      <c r="BG115" s="43">
        <v>164</v>
      </c>
      <c r="BH115" s="43">
        <v>189</v>
      </c>
      <c r="BI115" s="43">
        <v>96</v>
      </c>
      <c r="BJ115" s="43">
        <v>18</v>
      </c>
      <c r="BK115" s="43">
        <f>SUM(BE115:BJ115)</f>
        <v>566</v>
      </c>
      <c r="BL115" s="43">
        <v>0</v>
      </c>
      <c r="BM115" s="43">
        <v>6</v>
      </c>
      <c r="BN115" s="43">
        <v>114</v>
      </c>
      <c r="BO115" s="43">
        <v>9</v>
      </c>
      <c r="BP115" s="43">
        <v>3</v>
      </c>
      <c r="BQ115" s="43">
        <v>0</v>
      </c>
      <c r="BR115" s="43">
        <f>SUM(BL115:BQ115)</f>
        <v>132</v>
      </c>
      <c r="BS115" s="30">
        <f t="shared" ref="BS115" si="59">SUM(BD115+BK115+BR115)</f>
        <v>1575</v>
      </c>
      <c r="BY115" s="30">
        <v>1710</v>
      </c>
      <c r="BZ115" s="30">
        <v>900</v>
      </c>
      <c r="CA115" s="30">
        <v>500</v>
      </c>
      <c r="CB115" s="30">
        <v>4500</v>
      </c>
      <c r="CD115" s="30">
        <v>1200</v>
      </c>
      <c r="CE115" s="30">
        <v>340</v>
      </c>
      <c r="CF115" s="30">
        <v>2246</v>
      </c>
      <c r="CG115" s="43">
        <v>50</v>
      </c>
      <c r="CH115" s="43">
        <v>15</v>
      </c>
      <c r="CI115" s="372" t="s">
        <v>1771</v>
      </c>
      <c r="CJ115" s="372" t="s">
        <v>1772</v>
      </c>
      <c r="CN115" s="425" t="s">
        <v>1773</v>
      </c>
    </row>
    <row r="116" spans="1:92" ht="2" customHeight="1" thickBot="1" x14ac:dyDescent="0.25">
      <c r="B116" s="31" t="s">
        <v>202</v>
      </c>
      <c r="G116" s="552"/>
      <c r="N116" s="60"/>
      <c r="O116" s="50">
        <f>O115+O99+O68</f>
        <v>36867</v>
      </c>
      <c r="P116" s="50">
        <f>P115+P99+P68</f>
        <v>300</v>
      </c>
      <c r="Q116" s="50">
        <f>Q115+Q99+Q68</f>
        <v>75888</v>
      </c>
      <c r="S116" s="44"/>
      <c r="T116" s="48"/>
      <c r="V116" s="50">
        <f>V115+V99+V68</f>
        <v>10830.140000000001</v>
      </c>
    </row>
    <row r="117" spans="1:92" ht="9" customHeight="1" thickTop="1" x14ac:dyDescent="0.25">
      <c r="A117" s="49"/>
      <c r="B117" s="31"/>
      <c r="G117" s="552"/>
      <c r="N117" s="60"/>
      <c r="O117" s="53"/>
      <c r="P117" s="53"/>
      <c r="Q117" s="53"/>
      <c r="S117" s="44"/>
      <c r="T117" s="48"/>
      <c r="V117" s="30"/>
    </row>
    <row r="118" spans="1:92" ht="21" x14ac:dyDescent="0.25">
      <c r="A118" s="49"/>
      <c r="B118" s="31"/>
      <c r="G118" s="552"/>
      <c r="M118" s="254"/>
      <c r="N118" s="60"/>
      <c r="O118" s="53"/>
      <c r="P118" s="53"/>
      <c r="Q118" s="53"/>
      <c r="S118" s="44"/>
      <c r="T118" s="48"/>
      <c r="V118" s="30"/>
    </row>
    <row r="119" spans="1:92" ht="21" x14ac:dyDescent="0.25">
      <c r="A119" s="49" t="s">
        <v>199</v>
      </c>
      <c r="B119" s="31"/>
      <c r="G119" s="552"/>
      <c r="N119" s="60"/>
      <c r="O119" s="53"/>
      <c r="P119" s="53"/>
      <c r="Q119" s="53"/>
      <c r="S119" s="44"/>
      <c r="T119" s="48"/>
      <c r="V119" s="30"/>
    </row>
    <row r="120" spans="1:92" ht="6" customHeight="1" x14ac:dyDescent="0.25">
      <c r="A120" s="49"/>
      <c r="G120" s="552"/>
      <c r="N120" s="60"/>
      <c r="V120" s="30"/>
    </row>
    <row r="121" spans="1:92" ht="21" x14ac:dyDescent="0.25">
      <c r="A121" s="51"/>
      <c r="B121" s="31" t="s">
        <v>204</v>
      </c>
      <c r="G121" s="552"/>
      <c r="N121" s="60"/>
      <c r="O121" s="30">
        <v>6231</v>
      </c>
      <c r="P121" s="30">
        <v>0</v>
      </c>
      <c r="Q121" s="30">
        <v>14220</v>
      </c>
      <c r="R121" s="69">
        <f>Q121/O121</f>
        <v>2.2821376986037554</v>
      </c>
      <c r="S121" s="65" t="s">
        <v>217</v>
      </c>
      <c r="V121" s="30">
        <v>2291</v>
      </c>
      <c r="W121" s="139">
        <f>V121/O121</f>
        <v>0.36767774033060502</v>
      </c>
    </row>
    <row r="122" spans="1:92" ht="6" customHeight="1" x14ac:dyDescent="0.25">
      <c r="A122" s="51"/>
      <c r="G122" s="552"/>
      <c r="N122" s="60"/>
      <c r="O122" s="30"/>
      <c r="P122" s="30"/>
      <c r="Q122" s="30"/>
      <c r="V122" s="30"/>
    </row>
    <row r="123" spans="1:92" ht="21" x14ac:dyDescent="0.25">
      <c r="A123" s="51"/>
      <c r="B123" s="32" t="s">
        <v>1992</v>
      </c>
      <c r="G123" s="552"/>
      <c r="N123" s="60"/>
      <c r="O123" s="30" t="s">
        <v>11</v>
      </c>
      <c r="P123" s="30"/>
      <c r="Q123" s="30"/>
      <c r="V123" s="30"/>
    </row>
    <row r="124" spans="1:92" ht="6" customHeight="1" x14ac:dyDescent="0.25">
      <c r="A124" s="51"/>
      <c r="B124" s="32"/>
      <c r="G124" s="552"/>
      <c r="N124" s="60"/>
      <c r="O124" s="30"/>
      <c r="P124" s="30"/>
      <c r="Q124" s="30"/>
      <c r="V124" s="30"/>
    </row>
    <row r="125" spans="1:92" ht="32" x14ac:dyDescent="0.25">
      <c r="A125" s="51"/>
      <c r="B125" s="55" t="s">
        <v>205</v>
      </c>
      <c r="C125" s="56"/>
      <c r="D125" s="56"/>
      <c r="E125" s="56"/>
      <c r="F125" s="56"/>
      <c r="G125" s="562"/>
      <c r="H125" s="276"/>
      <c r="I125" s="57"/>
      <c r="J125" s="56"/>
      <c r="K125" s="56"/>
      <c r="L125" s="57"/>
      <c r="M125" s="56"/>
      <c r="N125" s="156"/>
      <c r="O125" s="58" t="s">
        <v>206</v>
      </c>
      <c r="P125" s="58"/>
      <c r="Q125" s="59" t="s">
        <v>207</v>
      </c>
      <c r="V125" s="30"/>
    </row>
    <row r="126" spans="1:92" ht="6" customHeight="1" x14ac:dyDescent="0.25">
      <c r="A126" s="51"/>
      <c r="B126" s="31"/>
      <c r="G126" s="552"/>
      <c r="N126" s="60"/>
      <c r="O126" s="30"/>
      <c r="P126" s="30"/>
      <c r="Q126" s="30"/>
      <c r="V126" s="30"/>
    </row>
    <row r="127" spans="1:92" ht="16" customHeight="1" outlineLevel="1" x14ac:dyDescent="0.25">
      <c r="A127" s="51"/>
      <c r="B127" s="31"/>
      <c r="C127" t="s">
        <v>479</v>
      </c>
      <c r="D127" t="s">
        <v>480</v>
      </c>
      <c r="E127" t="s">
        <v>1942</v>
      </c>
      <c r="F127" t="s">
        <v>1121</v>
      </c>
      <c r="G127" s="552">
        <v>2019</v>
      </c>
      <c r="H127" s="47">
        <v>1</v>
      </c>
      <c r="J127" t="s">
        <v>1119</v>
      </c>
      <c r="K127" t="s">
        <v>1919</v>
      </c>
      <c r="N127" s="60"/>
      <c r="O127" s="30">
        <v>173</v>
      </c>
      <c r="P127" s="30"/>
      <c r="Q127" s="30">
        <f t="shared" ref="Q127:Q132" si="60">O127*$M$4</f>
        <v>346</v>
      </c>
      <c r="S127" s="30">
        <f>Q127+Q121</f>
        <v>14566</v>
      </c>
      <c r="T127" s="47">
        <f>S127/$Q$121-1</f>
        <v>2.433192686357244E-2</v>
      </c>
      <c r="V127" s="30">
        <v>234</v>
      </c>
      <c r="W127" s="139">
        <f t="shared" ref="W127:W140" si="61">V127/O127</f>
        <v>1.3526011560693643</v>
      </c>
    </row>
    <row r="128" spans="1:92" ht="16" customHeight="1" outlineLevel="1" x14ac:dyDescent="0.25">
      <c r="A128" s="51"/>
      <c r="C128" t="s">
        <v>1991</v>
      </c>
      <c r="D128" t="s">
        <v>387</v>
      </c>
      <c r="E128" t="s">
        <v>1942</v>
      </c>
      <c r="F128" t="s">
        <v>387</v>
      </c>
      <c r="G128" s="552">
        <v>2016</v>
      </c>
      <c r="H128" s="47">
        <v>1</v>
      </c>
      <c r="J128" t="s">
        <v>1119</v>
      </c>
      <c r="K128" t="s">
        <v>1119</v>
      </c>
      <c r="N128" s="60"/>
      <c r="O128" s="43">
        <v>36</v>
      </c>
      <c r="Q128" s="30">
        <f t="shared" si="60"/>
        <v>72</v>
      </c>
      <c r="S128" s="30">
        <f>Q128+S127</f>
        <v>14638</v>
      </c>
      <c r="T128" s="47">
        <f>S128/$Q$121-1</f>
        <v>2.9395218002812973E-2</v>
      </c>
      <c r="V128" s="529">
        <f t="shared" ref="V128:V132" si="62">O128*$M$5</f>
        <v>9.7200000000000006</v>
      </c>
      <c r="W128" s="139">
        <f t="shared" si="61"/>
        <v>0.27</v>
      </c>
    </row>
    <row r="129" spans="1:39" ht="16" customHeight="1" outlineLevel="1" x14ac:dyDescent="0.25">
      <c r="A129" s="51"/>
      <c r="B129" s="31"/>
      <c r="C129" t="s">
        <v>1266</v>
      </c>
      <c r="D129" t="s">
        <v>465</v>
      </c>
      <c r="E129" t="s">
        <v>1942</v>
      </c>
      <c r="F129" t="s">
        <v>1917</v>
      </c>
      <c r="G129" s="552">
        <v>2030</v>
      </c>
      <c r="J129" t="s">
        <v>1919</v>
      </c>
      <c r="K129" t="s">
        <v>1919</v>
      </c>
      <c r="M129" s="65" t="s">
        <v>11</v>
      </c>
      <c r="N129" s="153"/>
      <c r="O129" s="30">
        <f>417-134</f>
        <v>283</v>
      </c>
      <c r="P129" s="30"/>
      <c r="Q129" s="30">
        <f t="shared" si="60"/>
        <v>566</v>
      </c>
      <c r="S129" s="30">
        <f t="shared" ref="S129" si="63">Q129+S128</f>
        <v>15204</v>
      </c>
      <c r="T129" s="47">
        <f t="shared" ref="T129" si="64">S129/$Q$68-1</f>
        <v>0.12364200724262808</v>
      </c>
      <c r="V129" s="529">
        <f t="shared" si="62"/>
        <v>76.410000000000011</v>
      </c>
      <c r="W129" s="139">
        <f t="shared" si="61"/>
        <v>0.27</v>
      </c>
    </row>
    <row r="130" spans="1:39" ht="16" customHeight="1" outlineLevel="1" x14ac:dyDescent="0.2">
      <c r="C130" t="s">
        <v>484</v>
      </c>
      <c r="D130" t="s">
        <v>387</v>
      </c>
      <c r="E130" t="s">
        <v>1946</v>
      </c>
      <c r="F130" t="s">
        <v>387</v>
      </c>
      <c r="G130" s="552">
        <v>2016</v>
      </c>
      <c r="J130" t="s">
        <v>1119</v>
      </c>
      <c r="K130" t="s">
        <v>1119</v>
      </c>
      <c r="N130" s="60"/>
      <c r="O130" s="43">
        <v>62</v>
      </c>
      <c r="Q130" s="30">
        <f t="shared" si="60"/>
        <v>124</v>
      </c>
      <c r="S130" s="30">
        <f>Q130+S128</f>
        <v>14762</v>
      </c>
      <c r="T130" s="47">
        <f>S130/$Q$121-1</f>
        <v>3.8115330520393842E-2</v>
      </c>
      <c r="V130" s="529">
        <f t="shared" si="62"/>
        <v>16.740000000000002</v>
      </c>
      <c r="W130" s="139">
        <f t="shared" si="61"/>
        <v>0.27</v>
      </c>
    </row>
    <row r="131" spans="1:39" ht="16" customHeight="1" outlineLevel="1" x14ac:dyDescent="0.2">
      <c r="C131" t="s">
        <v>144</v>
      </c>
      <c r="D131" t="s">
        <v>387</v>
      </c>
      <c r="E131" t="s">
        <v>1946</v>
      </c>
      <c r="F131" t="s">
        <v>387</v>
      </c>
      <c r="G131" s="552">
        <v>2016</v>
      </c>
      <c r="J131" t="s">
        <v>1119</v>
      </c>
      <c r="K131" t="s">
        <v>1119</v>
      </c>
      <c r="N131" s="60"/>
      <c r="O131" s="43">
        <v>39</v>
      </c>
      <c r="Q131" s="30">
        <f t="shared" si="60"/>
        <v>78</v>
      </c>
      <c r="S131" s="30">
        <f>Q131+S130</f>
        <v>14840</v>
      </c>
      <c r="T131" s="47">
        <f>S131/$Q$121-1</f>
        <v>4.3600562587904346E-2</v>
      </c>
      <c r="V131" s="529">
        <f t="shared" si="62"/>
        <v>10.530000000000001</v>
      </c>
      <c r="W131" s="139">
        <f t="shared" si="61"/>
        <v>0.27</v>
      </c>
    </row>
    <row r="132" spans="1:39" ht="16" customHeight="1" outlineLevel="1" x14ac:dyDescent="0.2">
      <c r="C132" t="s">
        <v>483</v>
      </c>
      <c r="D132" t="s">
        <v>412</v>
      </c>
      <c r="E132" t="s">
        <v>1946</v>
      </c>
      <c r="F132" t="s">
        <v>412</v>
      </c>
      <c r="G132" s="552">
        <v>2021</v>
      </c>
      <c r="J132" t="s">
        <v>1119</v>
      </c>
      <c r="K132" t="s">
        <v>1119</v>
      </c>
      <c r="N132" s="60"/>
      <c r="O132" s="43">
        <v>26</v>
      </c>
      <c r="Q132" s="30">
        <f t="shared" si="60"/>
        <v>52</v>
      </c>
      <c r="S132" s="30">
        <f>Q132+S131</f>
        <v>14892</v>
      </c>
      <c r="T132" s="47">
        <f>S132/$Q$121-1</f>
        <v>4.7257383966244682E-2</v>
      </c>
      <c r="V132" s="529">
        <f t="shared" si="62"/>
        <v>7.0200000000000005</v>
      </c>
      <c r="W132" s="139">
        <f t="shared" si="61"/>
        <v>0.27</v>
      </c>
    </row>
    <row r="133" spans="1:39" ht="6" customHeight="1" x14ac:dyDescent="0.2">
      <c r="G133" s="552"/>
      <c r="N133" s="60"/>
      <c r="O133" s="93"/>
      <c r="P133" s="93"/>
      <c r="Q133" s="93"/>
      <c r="R133" s="92"/>
      <c r="S133" s="93"/>
      <c r="T133" s="93"/>
      <c r="V133" s="96"/>
      <c r="W133" s="501"/>
    </row>
    <row r="134" spans="1:39" x14ac:dyDescent="0.2">
      <c r="C134" s="31" t="s">
        <v>1917</v>
      </c>
      <c r="G134" s="552"/>
      <c r="N134" s="60"/>
      <c r="O134" s="36">
        <f>SUMIF($F$127:$F$133,C134,$O$127:$O$133)</f>
        <v>283</v>
      </c>
      <c r="P134" s="36">
        <f>SUMIF($F$127:$F$133,C134,$P$127:$P$133)</f>
        <v>0</v>
      </c>
      <c r="Q134" s="36">
        <f>SUMIF($F$127:$F$133,C134,$Q$127:$Q$133)</f>
        <v>566</v>
      </c>
      <c r="R134" s="36">
        <f t="shared" ref="R134:T137" si="65">SUMIF($F$21:$F$42,I134,$O$21:$O$42)</f>
        <v>0</v>
      </c>
      <c r="S134" s="36">
        <f t="shared" si="65"/>
        <v>0</v>
      </c>
      <c r="T134" s="36">
        <f t="shared" si="65"/>
        <v>0</v>
      </c>
      <c r="V134" s="36">
        <f>SUMIF($F$127:$F$133,C134,$V$127:$V$133)</f>
        <v>76.410000000000011</v>
      </c>
      <c r="W134" s="139">
        <f>V134/O134</f>
        <v>0.27</v>
      </c>
    </row>
    <row r="135" spans="1:39" x14ac:dyDescent="0.2">
      <c r="C135" s="31" t="s">
        <v>412</v>
      </c>
      <c r="G135" s="552"/>
      <c r="N135" s="60"/>
      <c r="O135" s="36">
        <f>SUMIF($F$127:$F$133,C135,$O$127:$O$133)</f>
        <v>26</v>
      </c>
      <c r="P135" s="36">
        <f>SUMIF($F$127:$F$133,C135,$P$127:$P$133)</f>
        <v>0</v>
      </c>
      <c r="Q135" s="36">
        <f>SUMIF($F$127:$F$133,C135,$Q$127:$Q$133)</f>
        <v>52</v>
      </c>
      <c r="R135" s="36">
        <f t="shared" si="65"/>
        <v>0</v>
      </c>
      <c r="S135" s="36">
        <f t="shared" si="65"/>
        <v>0</v>
      </c>
      <c r="T135" s="36">
        <f t="shared" si="65"/>
        <v>0</v>
      </c>
      <c r="U135" s="84"/>
      <c r="V135" s="36">
        <f>SUMIF($F$127:$F$133,C135,$V$127:$V$133)</f>
        <v>7.0200000000000005</v>
      </c>
      <c r="W135" s="139">
        <f>V135/O135</f>
        <v>0.27</v>
      </c>
    </row>
    <row r="136" spans="1:39" x14ac:dyDescent="0.2">
      <c r="C136" s="31" t="s">
        <v>1121</v>
      </c>
      <c r="G136" s="552"/>
      <c r="N136" s="60"/>
      <c r="O136" s="36">
        <f>SUMIF($F$127:$F$133,C136,$O$127:$O$133)</f>
        <v>173</v>
      </c>
      <c r="P136" s="36">
        <f>SUMIF($F$127:$F$133,C136,$P$127:$P$133)</f>
        <v>0</v>
      </c>
      <c r="Q136" s="36">
        <f>SUMIF($F$127:$F$133,C136,$Q$127:$Q$133)</f>
        <v>346</v>
      </c>
      <c r="R136" s="36">
        <f t="shared" si="65"/>
        <v>0</v>
      </c>
      <c r="S136" s="36">
        <f t="shared" si="65"/>
        <v>0</v>
      </c>
      <c r="T136" s="36">
        <f t="shared" si="65"/>
        <v>0</v>
      </c>
      <c r="V136" s="36">
        <f>SUMIF($F$127:$F$133,C136,$V$127:$V$133)</f>
        <v>234</v>
      </c>
      <c r="W136" s="139">
        <f>V136/O136</f>
        <v>1.3526011560693643</v>
      </c>
    </row>
    <row r="137" spans="1:39" x14ac:dyDescent="0.2">
      <c r="C137" s="31" t="s">
        <v>387</v>
      </c>
      <c r="G137" s="552"/>
      <c r="O137" s="36">
        <f>SUMIF($F$127:$F$133,C137,$O$127:$O$133)</f>
        <v>137</v>
      </c>
      <c r="P137" s="36">
        <f>SUMIF($F$127:$F$133,C137,$P$127:$P$133)</f>
        <v>0</v>
      </c>
      <c r="Q137" s="36">
        <f>SUMIF($F$127:$F$133,C137,$Q$127:$Q$133)</f>
        <v>274</v>
      </c>
      <c r="R137" s="36">
        <f t="shared" si="65"/>
        <v>0</v>
      </c>
      <c r="S137" s="36">
        <f t="shared" si="65"/>
        <v>0</v>
      </c>
      <c r="T137" s="36">
        <f t="shared" si="65"/>
        <v>0</v>
      </c>
      <c r="V137" s="36">
        <f>SUMIF($F$127:$F$133,C137,$V$127:$V$133)</f>
        <v>36.99</v>
      </c>
      <c r="W137" s="139">
        <f>V137/O137</f>
        <v>0.27</v>
      </c>
    </row>
    <row r="138" spans="1:39" x14ac:dyDescent="0.2">
      <c r="G138" s="552"/>
      <c r="N138" s="60"/>
      <c r="O138" s="36"/>
      <c r="P138" s="36"/>
      <c r="Q138" s="36"/>
      <c r="R138" s="36"/>
      <c r="S138" s="36"/>
      <c r="T138" s="36"/>
      <c r="U138" s="84"/>
      <c r="V138" s="36"/>
    </row>
    <row r="139" spans="1:39" x14ac:dyDescent="0.2">
      <c r="B139" s="32"/>
      <c r="C139" s="31" t="s">
        <v>1993</v>
      </c>
      <c r="D139" s="31"/>
      <c r="E139" s="31"/>
      <c r="F139" s="31"/>
      <c r="G139" s="560"/>
      <c r="H139" s="507"/>
      <c r="I139" s="241"/>
      <c r="J139" s="31"/>
      <c r="K139" s="31"/>
      <c r="L139" s="241"/>
      <c r="M139" s="31"/>
      <c r="N139" s="137"/>
      <c r="O139" s="53">
        <f>SUM(O134:O138)</f>
        <v>619</v>
      </c>
      <c r="P139" s="53">
        <f>SUM(P134:P138)</f>
        <v>0</v>
      </c>
      <c r="Q139" s="53">
        <f>SUM(Q127:Q133)</f>
        <v>1238</v>
      </c>
      <c r="V139" s="44">
        <f>O139*$M$5</f>
        <v>167.13000000000002</v>
      </c>
      <c r="W139" s="140">
        <f t="shared" si="61"/>
        <v>0.27</v>
      </c>
    </row>
    <row r="140" spans="1:39" ht="29" customHeight="1" thickBot="1" x14ac:dyDescent="0.25">
      <c r="B140" s="31" t="s">
        <v>202</v>
      </c>
      <c r="G140" s="552"/>
      <c r="N140" s="60"/>
      <c r="O140" s="50">
        <f>O139+O121</f>
        <v>6850</v>
      </c>
      <c r="P140" s="50">
        <f>P139+P121</f>
        <v>0</v>
      </c>
      <c r="Q140" s="50">
        <f>Q139+Q121</f>
        <v>15458</v>
      </c>
      <c r="S140" s="46">
        <f>S132</f>
        <v>14892</v>
      </c>
      <c r="T140" s="128">
        <f>T132</f>
        <v>4.7257383966244682E-2</v>
      </c>
      <c r="V140" s="50">
        <f>V139+V121</f>
        <v>2458.13</v>
      </c>
      <c r="W140" s="537">
        <f t="shared" si="61"/>
        <v>0.35885109489051098</v>
      </c>
      <c r="AD140" s="57" t="s">
        <v>1569</v>
      </c>
      <c r="AE140" s="362" t="s">
        <v>1570</v>
      </c>
      <c r="AF140" s="43" t="s">
        <v>1571</v>
      </c>
      <c r="AG140" s="43" t="s">
        <v>1572</v>
      </c>
      <c r="AH140" s="364" t="s">
        <v>1573</v>
      </c>
      <c r="AI140" s="364">
        <v>41473</v>
      </c>
      <c r="AJ140" s="362" t="s">
        <v>1570</v>
      </c>
      <c r="AK140" s="43" t="s">
        <v>57</v>
      </c>
      <c r="AL140" s="268" t="s">
        <v>1574</v>
      </c>
      <c r="AM140" s="268" t="s">
        <v>1575</v>
      </c>
    </row>
    <row r="141" spans="1:39" ht="17" thickTop="1" x14ac:dyDescent="0.2">
      <c r="G141" s="552"/>
      <c r="M141" s="43"/>
      <c r="N141" s="43"/>
      <c r="V141" s="30"/>
    </row>
    <row r="142" spans="1:39" ht="21" x14ac:dyDescent="0.25">
      <c r="A142" s="49" t="s">
        <v>1534</v>
      </c>
      <c r="B142" s="31"/>
      <c r="G142" s="552"/>
      <c r="N142" s="60"/>
      <c r="O142" s="53"/>
      <c r="P142" s="53"/>
      <c r="Q142" s="53"/>
      <c r="S142" s="44"/>
      <c r="T142" s="48"/>
      <c r="V142" s="30"/>
    </row>
    <row r="143" spans="1:39" ht="6" customHeight="1" x14ac:dyDescent="0.25">
      <c r="A143" s="49"/>
      <c r="G143" s="552"/>
      <c r="N143" s="60"/>
      <c r="V143" s="30"/>
    </row>
    <row r="144" spans="1:39" ht="21" x14ac:dyDescent="0.25">
      <c r="A144" s="51"/>
      <c r="B144" s="31" t="s">
        <v>204</v>
      </c>
      <c r="G144" s="552"/>
      <c r="N144" s="60"/>
      <c r="O144" s="30">
        <v>2445</v>
      </c>
      <c r="P144" s="30"/>
      <c r="Q144" s="30">
        <v>6957</v>
      </c>
      <c r="R144" s="69">
        <f>Q144/O144</f>
        <v>2.845398773006135</v>
      </c>
      <c r="S144" s="65" t="s">
        <v>217</v>
      </c>
      <c r="V144" s="30">
        <v>1797</v>
      </c>
      <c r="W144" s="139">
        <f>V144/O144</f>
        <v>0.73496932515337421</v>
      </c>
    </row>
    <row r="145" spans="1:92" x14ac:dyDescent="0.2">
      <c r="G145" s="552"/>
      <c r="M145" s="43"/>
      <c r="N145" s="43"/>
      <c r="V145" s="30"/>
    </row>
    <row r="146" spans="1:92" ht="32" x14ac:dyDescent="0.25">
      <c r="A146" s="51"/>
      <c r="B146" s="55" t="s">
        <v>205</v>
      </c>
      <c r="C146" s="56"/>
      <c r="D146" s="56"/>
      <c r="E146" s="56"/>
      <c r="F146" s="56"/>
      <c r="G146" s="562"/>
      <c r="H146" s="276"/>
      <c r="I146" s="57"/>
      <c r="J146" s="56"/>
      <c r="K146" s="56"/>
      <c r="L146" s="57"/>
      <c r="M146" s="56"/>
      <c r="N146" s="156"/>
      <c r="O146" s="58" t="s">
        <v>206</v>
      </c>
      <c r="P146" s="58"/>
      <c r="Q146" s="59" t="s">
        <v>207</v>
      </c>
      <c r="V146" s="30"/>
    </row>
    <row r="147" spans="1:92" x14ac:dyDescent="0.2">
      <c r="G147" s="552"/>
      <c r="M147" s="43"/>
      <c r="N147" s="43"/>
      <c r="V147" s="30"/>
    </row>
    <row r="148" spans="1:92" x14ac:dyDescent="0.2">
      <c r="C148" t="s">
        <v>1535</v>
      </c>
      <c r="D148" t="s">
        <v>387</v>
      </c>
      <c r="E148" t="s">
        <v>1955</v>
      </c>
      <c r="F148" t="s">
        <v>387</v>
      </c>
      <c r="G148" s="552">
        <v>2016</v>
      </c>
      <c r="H148" s="47">
        <v>1</v>
      </c>
      <c r="I148" s="43" t="s">
        <v>1923</v>
      </c>
      <c r="J148" s="43" t="s">
        <v>1119</v>
      </c>
      <c r="K148" s="43" t="s">
        <v>1119</v>
      </c>
      <c r="M148" s="43">
        <v>10</v>
      </c>
      <c r="N148" s="43"/>
      <c r="O148" s="43">
        <v>100</v>
      </c>
      <c r="Q148" s="43">
        <v>200</v>
      </c>
      <c r="V148" s="529">
        <f t="shared" ref="V148:V151" si="66">O148*$M$5</f>
        <v>27</v>
      </c>
      <c r="W148" s="139">
        <f t="shared" ref="W148:W151" si="67">V148/O148</f>
        <v>0.27</v>
      </c>
    </row>
    <row r="149" spans="1:92" ht="16" customHeight="1" x14ac:dyDescent="0.25">
      <c r="A149" s="51"/>
      <c r="B149" s="31"/>
      <c r="C149" t="s">
        <v>1536</v>
      </c>
      <c r="D149" t="s">
        <v>1539</v>
      </c>
      <c r="E149" t="s">
        <v>1945</v>
      </c>
      <c r="F149" t="s">
        <v>1121</v>
      </c>
      <c r="G149" s="552">
        <v>2025</v>
      </c>
      <c r="H149" s="47">
        <v>1</v>
      </c>
      <c r="I149" s="43" t="s">
        <v>1923</v>
      </c>
      <c r="J149" s="43" t="s">
        <v>1119</v>
      </c>
      <c r="K149" s="43" t="s">
        <v>1119</v>
      </c>
      <c r="M149" s="43"/>
      <c r="N149" s="153"/>
      <c r="O149" s="30">
        <f>1575-252</f>
        <v>1323</v>
      </c>
      <c r="P149" s="30"/>
      <c r="Q149" s="30">
        <f>O149*2</f>
        <v>2646</v>
      </c>
      <c r="S149" s="30"/>
      <c r="T149" s="47"/>
      <c r="V149" s="529">
        <f t="shared" si="66"/>
        <v>357.21000000000004</v>
      </c>
      <c r="W149" s="139">
        <f t="shared" si="67"/>
        <v>0.27</v>
      </c>
      <c r="Y149" t="s">
        <v>1538</v>
      </c>
      <c r="AA149" s="311"/>
    </row>
    <row r="150" spans="1:92" ht="16" customHeight="1" x14ac:dyDescent="0.25">
      <c r="A150" s="51"/>
      <c r="B150" s="31"/>
      <c r="C150" t="s">
        <v>1537</v>
      </c>
      <c r="D150" t="s">
        <v>446</v>
      </c>
      <c r="E150" t="s">
        <v>1945</v>
      </c>
      <c r="F150" t="s">
        <v>1121</v>
      </c>
      <c r="G150" s="552">
        <v>2019</v>
      </c>
      <c r="H150" s="47">
        <v>1</v>
      </c>
      <c r="I150" s="43" t="s">
        <v>1923</v>
      </c>
      <c r="J150" s="43" t="s">
        <v>1119</v>
      </c>
      <c r="K150" s="43" t="s">
        <v>1119</v>
      </c>
      <c r="M150" s="43">
        <v>22</v>
      </c>
      <c r="N150" s="153"/>
      <c r="O150" s="30">
        <v>392</v>
      </c>
      <c r="P150" s="30"/>
      <c r="Q150" s="30">
        <f>O150*2</f>
        <v>784</v>
      </c>
      <c r="S150" s="30"/>
      <c r="T150" s="47"/>
      <c r="V150" s="529">
        <f t="shared" si="66"/>
        <v>105.84</v>
      </c>
      <c r="W150" s="139">
        <f t="shared" si="67"/>
        <v>0.27</v>
      </c>
      <c r="AA150" s="311"/>
    </row>
    <row r="151" spans="1:92" ht="16" customHeight="1" x14ac:dyDescent="0.25">
      <c r="A151" s="51"/>
      <c r="B151" s="31"/>
      <c r="C151" t="s">
        <v>1997</v>
      </c>
      <c r="D151" t="s">
        <v>1929</v>
      </c>
      <c r="E151" t="s">
        <v>1942</v>
      </c>
      <c r="F151" t="s">
        <v>1929</v>
      </c>
      <c r="G151" s="552">
        <v>2025</v>
      </c>
      <c r="H151" s="47">
        <v>0.7</v>
      </c>
      <c r="I151" s="43" t="s">
        <v>1923</v>
      </c>
      <c r="J151" s="43" t="s">
        <v>1919</v>
      </c>
      <c r="K151" s="43" t="s">
        <v>1919</v>
      </c>
      <c r="M151" s="43">
        <v>37</v>
      </c>
      <c r="N151" s="153"/>
      <c r="O151" s="30">
        <v>199</v>
      </c>
      <c r="P151" s="30">
        <v>320</v>
      </c>
      <c r="Q151" s="30">
        <f>O151*2</f>
        <v>398</v>
      </c>
      <c r="S151" s="30"/>
      <c r="T151" s="47"/>
      <c r="V151" s="529">
        <f t="shared" si="66"/>
        <v>53.730000000000004</v>
      </c>
      <c r="W151" s="139">
        <f t="shared" si="67"/>
        <v>0.27</v>
      </c>
      <c r="AA151" s="311"/>
    </row>
    <row r="152" spans="1:92" ht="16" customHeight="1" x14ac:dyDescent="0.25">
      <c r="A152" s="51"/>
      <c r="B152" s="31"/>
      <c r="M152" s="65"/>
      <c r="N152" s="153"/>
      <c r="O152" s="30"/>
      <c r="P152" s="30"/>
      <c r="Q152" s="30"/>
      <c r="S152" s="30"/>
      <c r="T152" s="47"/>
      <c r="V152" s="30"/>
      <c r="AA152" s="311"/>
    </row>
    <row r="153" spans="1:92" x14ac:dyDescent="0.2">
      <c r="B153" s="32"/>
      <c r="C153" s="31" t="s">
        <v>387</v>
      </c>
      <c r="D153" s="31"/>
      <c r="E153" s="31"/>
      <c r="G153" s="241"/>
      <c r="H153" s="507"/>
      <c r="I153" s="241"/>
      <c r="J153" s="31"/>
      <c r="K153" s="31"/>
      <c r="L153" s="241"/>
      <c r="M153" s="31"/>
      <c r="N153" s="137"/>
      <c r="O153" s="36">
        <f>O148</f>
        <v>100</v>
      </c>
      <c r="P153" s="36">
        <f t="shared" ref="P153:V153" si="68">P148</f>
        <v>0</v>
      </c>
      <c r="Q153" s="36">
        <f t="shared" si="68"/>
        <v>200</v>
      </c>
      <c r="R153" s="36">
        <f t="shared" si="68"/>
        <v>0</v>
      </c>
      <c r="S153" s="36">
        <f t="shared" si="68"/>
        <v>0</v>
      </c>
      <c r="T153" s="36">
        <f t="shared" si="68"/>
        <v>0</v>
      </c>
      <c r="U153" s="33"/>
      <c r="V153" s="36">
        <f t="shared" si="68"/>
        <v>27</v>
      </c>
      <c r="W153" s="139">
        <f t="shared" ref="W153:W155" si="69">V153/O153</f>
        <v>0.27</v>
      </c>
    </row>
    <row r="154" spans="1:92" x14ac:dyDescent="0.2">
      <c r="B154" s="32"/>
      <c r="C154" s="31" t="s">
        <v>1121</v>
      </c>
      <c r="D154" s="31"/>
      <c r="E154" s="31"/>
      <c r="G154" s="241"/>
      <c r="H154" s="507"/>
      <c r="I154" s="241"/>
      <c r="J154" s="31"/>
      <c r="K154" s="31"/>
      <c r="L154" s="241"/>
      <c r="M154" s="31"/>
      <c r="N154" s="137"/>
      <c r="O154" s="36">
        <f t="shared" ref="O154:T154" si="70">SUM(O149:O150)</f>
        <v>1715</v>
      </c>
      <c r="P154" s="36">
        <f t="shared" si="70"/>
        <v>0</v>
      </c>
      <c r="Q154" s="36">
        <f t="shared" si="70"/>
        <v>3430</v>
      </c>
      <c r="R154" s="36">
        <f t="shared" si="70"/>
        <v>0</v>
      </c>
      <c r="S154" s="36">
        <f t="shared" si="70"/>
        <v>0</v>
      </c>
      <c r="T154" s="36">
        <f t="shared" si="70"/>
        <v>0</v>
      </c>
      <c r="U154" s="33"/>
      <c r="V154" s="36">
        <f>SUM(V149:V150)</f>
        <v>463.05000000000007</v>
      </c>
      <c r="W154" s="139">
        <f t="shared" si="69"/>
        <v>0.27</v>
      </c>
    </row>
    <row r="155" spans="1:92" x14ac:dyDescent="0.2">
      <c r="B155" s="32"/>
      <c r="C155" s="31" t="s">
        <v>1929</v>
      </c>
      <c r="D155" s="31"/>
      <c r="E155" s="31"/>
      <c r="G155" s="241"/>
      <c r="H155" s="507"/>
      <c r="I155" s="241"/>
      <c r="J155" s="31"/>
      <c r="K155" s="31"/>
      <c r="L155" s="241"/>
      <c r="M155" s="31"/>
      <c r="N155" s="137"/>
      <c r="O155" s="526">
        <f>O151</f>
        <v>199</v>
      </c>
      <c r="P155" s="526">
        <f t="shared" ref="P155:V155" si="71">P151</f>
        <v>320</v>
      </c>
      <c r="Q155" s="526">
        <f t="shared" si="71"/>
        <v>398</v>
      </c>
      <c r="R155" s="526">
        <f t="shared" si="71"/>
        <v>0</v>
      </c>
      <c r="S155" s="526">
        <f t="shared" si="71"/>
        <v>0</v>
      </c>
      <c r="T155" s="526">
        <f t="shared" si="71"/>
        <v>0</v>
      </c>
      <c r="U155" s="33"/>
      <c r="V155" s="526">
        <f t="shared" si="71"/>
        <v>53.730000000000004</v>
      </c>
      <c r="W155" s="139">
        <f t="shared" si="69"/>
        <v>0.27</v>
      </c>
    </row>
    <row r="156" spans="1:92" x14ac:dyDescent="0.2">
      <c r="B156" s="32"/>
      <c r="C156" s="31" t="s">
        <v>1972</v>
      </c>
      <c r="D156" s="31"/>
      <c r="E156" s="31"/>
      <c r="G156" s="241"/>
      <c r="H156" s="507"/>
      <c r="I156" s="241"/>
      <c r="J156" s="31"/>
      <c r="K156" s="31"/>
      <c r="L156" s="241"/>
      <c r="M156" s="31"/>
      <c r="N156" s="137"/>
      <c r="O156" s="270">
        <f>SUM(O153:O155)</f>
        <v>2014</v>
      </c>
      <c r="P156" s="270">
        <f t="shared" ref="P156:T156" si="72">SUM(P153:P155)</f>
        <v>320</v>
      </c>
      <c r="Q156" s="270">
        <f t="shared" si="72"/>
        <v>4028</v>
      </c>
      <c r="R156" s="270">
        <f t="shared" si="72"/>
        <v>0</v>
      </c>
      <c r="S156" s="270">
        <f t="shared" si="72"/>
        <v>0</v>
      </c>
      <c r="T156" s="270">
        <f t="shared" si="72"/>
        <v>0</v>
      </c>
      <c r="U156" s="33"/>
      <c r="V156" s="270">
        <f>O156*$M$5</f>
        <v>543.78000000000009</v>
      </c>
      <c r="W156" s="530">
        <f>V156/O156</f>
        <v>0.27</v>
      </c>
    </row>
    <row r="157" spans="1:92" ht="24" customHeight="1" x14ac:dyDescent="0.2">
      <c r="B157" s="31" t="s">
        <v>202</v>
      </c>
      <c r="N157" s="60"/>
      <c r="O157" s="46">
        <f t="shared" ref="O157:T157" si="73">O156+O144</f>
        <v>4459</v>
      </c>
      <c r="P157" s="46">
        <f t="shared" si="73"/>
        <v>320</v>
      </c>
      <c r="Q157" s="46">
        <f t="shared" si="73"/>
        <v>10985</v>
      </c>
      <c r="R157" s="46">
        <f t="shared" si="73"/>
        <v>2.845398773006135</v>
      </c>
      <c r="S157" s="46" t="e">
        <f t="shared" si="73"/>
        <v>#VALUE!</v>
      </c>
      <c r="T157" s="46">
        <f t="shared" si="73"/>
        <v>0</v>
      </c>
      <c r="V157" s="46">
        <f>V156+V144</f>
        <v>2340.7800000000002</v>
      </c>
      <c r="W157" s="530">
        <f>V157/O157</f>
        <v>0.52495626822157437</v>
      </c>
      <c r="AD157" s="43" t="s">
        <v>1785</v>
      </c>
      <c r="AE157" s="268" t="s">
        <v>1786</v>
      </c>
      <c r="AF157" s="43" t="s">
        <v>1787</v>
      </c>
      <c r="AG157" s="43" t="s">
        <v>1788</v>
      </c>
      <c r="AH157" s="364">
        <v>42243</v>
      </c>
      <c r="AI157" s="364">
        <v>42243</v>
      </c>
      <c r="AJ157" s="268" t="s">
        <v>1786</v>
      </c>
      <c r="AK157" s="43" t="s">
        <v>1424</v>
      </c>
      <c r="AL157" s="43" t="s">
        <v>1789</v>
      </c>
      <c r="AM157" s="43" t="s">
        <v>1789</v>
      </c>
      <c r="AN157" s="43" t="s">
        <v>1790</v>
      </c>
      <c r="AO157" s="30" t="s">
        <v>1576</v>
      </c>
      <c r="AP157" s="30">
        <v>1155</v>
      </c>
      <c r="AQ157" s="30" t="s">
        <v>1590</v>
      </c>
      <c r="AR157" s="43" t="s">
        <v>1576</v>
      </c>
      <c r="AS157" s="43" t="s">
        <v>1576</v>
      </c>
      <c r="AT157" s="43" t="s">
        <v>1576</v>
      </c>
      <c r="AU157" s="43" t="s">
        <v>1576</v>
      </c>
      <c r="AV157" s="43" t="s">
        <v>1576</v>
      </c>
      <c r="AW157" s="43">
        <v>999</v>
      </c>
      <c r="AX157" s="43">
        <v>0</v>
      </c>
      <c r="AY157" s="43">
        <v>82</v>
      </c>
      <c r="AZ157" s="43">
        <v>78</v>
      </c>
      <c r="BA157" s="43">
        <v>27</v>
      </c>
      <c r="BB157" s="43">
        <v>0</v>
      </c>
      <c r="BC157" s="43">
        <v>0</v>
      </c>
      <c r="BD157" s="43">
        <f>SUM(AX157:BC157)</f>
        <v>187</v>
      </c>
      <c r="BE157" s="43">
        <v>0</v>
      </c>
      <c r="BF157" s="43">
        <v>10</v>
      </c>
      <c r="BG157" s="43">
        <v>20</v>
      </c>
      <c r="BH157" s="43">
        <v>20</v>
      </c>
      <c r="BI157" s="43">
        <v>5</v>
      </c>
      <c r="BJ157" s="43">
        <v>0</v>
      </c>
      <c r="BK157" s="43">
        <f t="shared" ref="BK157:BK200" si="74">SUM(BE157:BJ157)</f>
        <v>55</v>
      </c>
      <c r="BL157" s="43">
        <v>0</v>
      </c>
      <c r="BM157" s="43">
        <v>14</v>
      </c>
      <c r="BN157" s="43">
        <v>9</v>
      </c>
      <c r="BO157" s="43">
        <v>7</v>
      </c>
      <c r="BP157" s="43">
        <v>0</v>
      </c>
      <c r="BQ157" s="43">
        <v>0</v>
      </c>
      <c r="BR157" s="43">
        <f t="shared" ref="BR157:BR200" si="75">SUM(BL157:BQ157)</f>
        <v>30</v>
      </c>
      <c r="BS157" s="30">
        <f>SUM(BD157+BK157+BR157)</f>
        <v>272</v>
      </c>
      <c r="CE157" s="30">
        <v>20</v>
      </c>
      <c r="CF157" s="30">
        <v>448</v>
      </c>
      <c r="CG157" s="43" t="s">
        <v>1576</v>
      </c>
      <c r="CH157" s="43">
        <v>13</v>
      </c>
      <c r="CI157" s="372" t="s">
        <v>1791</v>
      </c>
      <c r="CJ157" s="372" t="s">
        <v>1792</v>
      </c>
      <c r="CN157" s="425" t="s">
        <v>1793</v>
      </c>
    </row>
    <row r="158" spans="1:92" ht="15" customHeight="1" x14ac:dyDescent="0.2">
      <c r="N158" s="60"/>
      <c r="V158" s="60"/>
      <c r="AD158" s="43" t="s">
        <v>1795</v>
      </c>
      <c r="AE158" s="268" t="s">
        <v>1796</v>
      </c>
      <c r="AF158" s="43" t="s">
        <v>1678</v>
      </c>
      <c r="AG158" s="43" t="s">
        <v>1779</v>
      </c>
      <c r="AH158" s="364">
        <v>40955</v>
      </c>
      <c r="AI158" s="364">
        <v>40974</v>
      </c>
      <c r="AJ158" s="268" t="s">
        <v>1797</v>
      </c>
      <c r="AK158" s="43" t="s">
        <v>1424</v>
      </c>
      <c r="AL158" s="268" t="s">
        <v>1798</v>
      </c>
      <c r="AM158" s="268" t="s">
        <v>1799</v>
      </c>
      <c r="AN158" s="43" t="s">
        <v>1576</v>
      </c>
      <c r="AO158" s="30" t="s">
        <v>1576</v>
      </c>
      <c r="AP158" s="30">
        <v>376</v>
      </c>
      <c r="AQ158" s="30" t="s">
        <v>1590</v>
      </c>
      <c r="AR158" s="43" t="s">
        <v>1576</v>
      </c>
      <c r="AS158" s="43">
        <v>334</v>
      </c>
      <c r="AT158" s="43">
        <v>150</v>
      </c>
      <c r="AU158" s="43">
        <v>200</v>
      </c>
      <c r="AV158" s="43">
        <v>100</v>
      </c>
      <c r="AW158" s="30">
        <v>4500</v>
      </c>
      <c r="AX158" s="43">
        <v>78</v>
      </c>
      <c r="AY158" s="43">
        <v>195</v>
      </c>
      <c r="AZ158" s="43">
        <v>713</v>
      </c>
      <c r="BA158" s="43">
        <v>0</v>
      </c>
      <c r="BB158" s="43">
        <v>0</v>
      </c>
      <c r="BC158" s="43">
        <v>0</v>
      </c>
      <c r="BD158" s="43">
        <f>SUM(AX158:BC158)</f>
        <v>986</v>
      </c>
      <c r="BE158" s="43">
        <v>0</v>
      </c>
      <c r="BF158" s="43">
        <v>10</v>
      </c>
      <c r="BG158" s="43">
        <v>60</v>
      </c>
      <c r="BH158" s="43">
        <v>40</v>
      </c>
      <c r="BI158" s="43">
        <v>60</v>
      </c>
      <c r="BJ158" s="43">
        <v>0</v>
      </c>
      <c r="BK158" s="43">
        <f t="shared" si="74"/>
        <v>170</v>
      </c>
      <c r="BL158" s="43">
        <v>0</v>
      </c>
      <c r="BM158" s="43">
        <v>8</v>
      </c>
      <c r="BN158" s="43">
        <v>11</v>
      </c>
      <c r="BO158" s="43">
        <v>1</v>
      </c>
      <c r="BP158" s="43">
        <v>0</v>
      </c>
      <c r="BQ158" s="43">
        <v>0</v>
      </c>
      <c r="BR158" s="43">
        <f t="shared" si="75"/>
        <v>20</v>
      </c>
      <c r="BS158" s="30">
        <f>SUM(BD158+BK158+BR158)</f>
        <v>1176</v>
      </c>
      <c r="BX158" s="30">
        <v>989</v>
      </c>
      <c r="BY158" s="30">
        <v>343</v>
      </c>
      <c r="CA158" s="30">
        <v>504</v>
      </c>
      <c r="CC158" s="30">
        <v>960</v>
      </c>
      <c r="CD158" s="30">
        <v>322</v>
      </c>
      <c r="CE158" s="30">
        <v>356</v>
      </c>
      <c r="CF158" s="30">
        <v>401</v>
      </c>
      <c r="CG158" s="43" t="s">
        <v>1576</v>
      </c>
      <c r="CH158" s="43">
        <v>10</v>
      </c>
      <c r="CI158" s="372" t="s">
        <v>1800</v>
      </c>
      <c r="CJ158" s="372" t="s">
        <v>1576</v>
      </c>
      <c r="CN158" s="425"/>
    </row>
    <row r="159" spans="1:92" ht="15" customHeight="1" x14ac:dyDescent="0.2">
      <c r="A159" s="31" t="s">
        <v>1998</v>
      </c>
      <c r="N159" s="60"/>
      <c r="V159" s="60"/>
      <c r="AJ159" s="268"/>
      <c r="AL159" s="268"/>
      <c r="AM159" s="268"/>
      <c r="AQ159" s="30"/>
      <c r="AW159" s="30"/>
      <c r="CN159" s="498"/>
    </row>
    <row r="160" spans="1:92" ht="15" customHeight="1" x14ac:dyDescent="0.2">
      <c r="A160" s="31"/>
      <c r="C160" t="s">
        <v>204</v>
      </c>
      <c r="N160" s="60"/>
      <c r="O160" s="36">
        <f>SUMIF($B$10:$B$152,C160,$O$10:$O$152)</f>
        <v>21069</v>
      </c>
      <c r="P160" s="36">
        <f>SUMIF($B$10:$B$152,C160,$P$10:$P$152)</f>
        <v>1167</v>
      </c>
      <c r="Q160" s="36">
        <f>SUMIF($B$10:$B$152,C160,$Q$10:$Q$152)</f>
        <v>47208</v>
      </c>
      <c r="R160" s="36">
        <f>SUMIF($F$21:$F$42,F160,$O$21:$O$42)</f>
        <v>0</v>
      </c>
      <c r="S160" s="36">
        <f>SUMIF($F$21:$F$42,G160,$O$21:$O$42)</f>
        <v>0</v>
      </c>
      <c r="T160" s="36">
        <f>SUMIF($F$21:$F$42,H160,$O$21:$O$42)</f>
        <v>0</v>
      </c>
      <c r="U160" s="84"/>
      <c r="V160" s="36">
        <f>SUMIF($B$10:$B$152,C160,$V$10:$V$152)</f>
        <v>8315</v>
      </c>
      <c r="W160" s="139">
        <f t="shared" ref="W160" si="76">V160/O160</f>
        <v>0.39465565522806018</v>
      </c>
      <c r="AJ160" s="268"/>
      <c r="AL160" s="268"/>
      <c r="AM160" s="268"/>
      <c r="AQ160" s="30"/>
      <c r="AW160" s="30"/>
      <c r="CN160" s="498"/>
    </row>
    <row r="161" spans="1:92" ht="8" customHeight="1" x14ac:dyDescent="0.2">
      <c r="A161" s="31"/>
      <c r="N161" s="60"/>
      <c r="O161" s="60"/>
      <c r="P161" s="60"/>
      <c r="Q161" s="60"/>
      <c r="R161" s="60"/>
      <c r="S161" s="60"/>
      <c r="T161" s="60"/>
      <c r="U161" s="60"/>
      <c r="V161" s="60"/>
      <c r="W161" s="60"/>
      <c r="X161" s="60"/>
      <c r="AJ161" s="268"/>
      <c r="AL161" s="268"/>
      <c r="AM161" s="268"/>
      <c r="AQ161" s="30"/>
      <c r="AW161" s="30"/>
      <c r="CN161" s="498"/>
    </row>
    <row r="162" spans="1:92" ht="15" customHeight="1" x14ac:dyDescent="0.2">
      <c r="C162" s="126" t="s">
        <v>387</v>
      </c>
      <c r="N162" s="60"/>
      <c r="O162" s="36">
        <f t="shared" ref="O162:O167" si="77">SUMIF($F$11:$F$152,C162,$O$11:$O$152)</f>
        <v>2730.5</v>
      </c>
      <c r="P162" s="36">
        <f t="shared" ref="P162:P167" si="78">SUMIF($F$11:$F$152,C162,$P$11:$P$152)</f>
        <v>130</v>
      </c>
      <c r="Q162" s="36">
        <f t="shared" ref="Q162:Q167" si="79">SUMIF($F$11:$F$152,C162,$Q$11:$Q$152)</f>
        <v>5461</v>
      </c>
      <c r="R162" s="36">
        <f t="shared" ref="R162:T167" si="80">SUMIF($F$21:$F$42,F162,$O$21:$O$42)</f>
        <v>0</v>
      </c>
      <c r="S162" s="36">
        <f t="shared" si="80"/>
        <v>0</v>
      </c>
      <c r="T162" s="36">
        <f t="shared" si="80"/>
        <v>0</v>
      </c>
      <c r="U162" s="84"/>
      <c r="V162" s="36">
        <f t="shared" ref="V162:V167" si="81">SUMIF($F$11:$F$152,C162,$V$11:$V$152)</f>
        <v>723.5150000000001</v>
      </c>
      <c r="W162" s="139">
        <f t="shared" ref="W162" si="82">V162/O162</f>
        <v>0.26497527925288411</v>
      </c>
      <c r="AJ162" s="268"/>
      <c r="AL162" s="268"/>
      <c r="AM162" s="268"/>
      <c r="AQ162" s="30"/>
      <c r="AW162" s="30"/>
      <c r="CN162" s="498"/>
    </row>
    <row r="163" spans="1:92" ht="15" customHeight="1" x14ac:dyDescent="0.2">
      <c r="C163" t="s">
        <v>1121</v>
      </c>
      <c r="N163" s="60"/>
      <c r="O163" s="36">
        <f t="shared" si="77"/>
        <v>12789</v>
      </c>
      <c r="P163" s="36">
        <f t="shared" si="78"/>
        <v>605</v>
      </c>
      <c r="Q163" s="36">
        <f t="shared" si="79"/>
        <v>25578</v>
      </c>
      <c r="R163" s="36">
        <f t="shared" si="80"/>
        <v>0</v>
      </c>
      <c r="S163" s="36">
        <f t="shared" si="80"/>
        <v>0</v>
      </c>
      <c r="T163" s="36">
        <f t="shared" si="80"/>
        <v>0</v>
      </c>
      <c r="U163" s="84"/>
      <c r="V163" s="36">
        <f t="shared" si="81"/>
        <v>2954.21</v>
      </c>
      <c r="AJ163" s="268"/>
      <c r="AL163" s="268"/>
      <c r="AM163" s="268"/>
      <c r="AQ163" s="30"/>
      <c r="AW163" s="30"/>
      <c r="CN163" s="498"/>
    </row>
    <row r="164" spans="1:92" ht="15" customHeight="1" x14ac:dyDescent="0.2">
      <c r="C164" s="173" t="s">
        <v>1927</v>
      </c>
      <c r="N164" s="60"/>
      <c r="O164" s="36">
        <f t="shared" si="77"/>
        <v>1921</v>
      </c>
      <c r="P164" s="36">
        <f t="shared" si="78"/>
        <v>0</v>
      </c>
      <c r="Q164" s="36">
        <f t="shared" si="79"/>
        <v>3842</v>
      </c>
      <c r="R164" s="36">
        <f t="shared" si="80"/>
        <v>0</v>
      </c>
      <c r="S164" s="36">
        <f t="shared" si="80"/>
        <v>0</v>
      </c>
      <c r="T164" s="36">
        <f t="shared" si="80"/>
        <v>0</v>
      </c>
      <c r="U164" s="84"/>
      <c r="V164" s="36">
        <f t="shared" si="81"/>
        <v>358</v>
      </c>
      <c r="AJ164" s="268"/>
      <c r="AL164" s="268"/>
      <c r="AM164" s="268"/>
      <c r="AQ164" s="30"/>
      <c r="AW164" s="30"/>
      <c r="CN164" s="498"/>
    </row>
    <row r="165" spans="1:92" ht="15" customHeight="1" x14ac:dyDescent="0.2">
      <c r="C165" t="s">
        <v>412</v>
      </c>
      <c r="N165" s="60"/>
      <c r="O165" s="36">
        <f t="shared" si="77"/>
        <v>4209</v>
      </c>
      <c r="P165" s="36">
        <f t="shared" si="78"/>
        <v>273</v>
      </c>
      <c r="Q165" s="36">
        <f t="shared" si="79"/>
        <v>8418</v>
      </c>
      <c r="R165" s="36">
        <f t="shared" si="80"/>
        <v>0</v>
      </c>
      <c r="S165" s="36">
        <f t="shared" si="80"/>
        <v>0</v>
      </c>
      <c r="T165" s="36">
        <f t="shared" si="80"/>
        <v>0</v>
      </c>
      <c r="U165" s="84"/>
      <c r="V165" s="36">
        <f t="shared" si="81"/>
        <v>1218.72</v>
      </c>
      <c r="AJ165" s="268"/>
      <c r="AL165" s="268"/>
      <c r="AM165" s="268"/>
      <c r="AQ165" s="30"/>
      <c r="AW165" s="30"/>
      <c r="CN165" s="498"/>
    </row>
    <row r="166" spans="1:92" ht="15" customHeight="1" x14ac:dyDescent="0.2">
      <c r="C166" s="126" t="s">
        <v>1929</v>
      </c>
      <c r="N166" s="60"/>
      <c r="O166" s="36">
        <f t="shared" si="77"/>
        <v>1519</v>
      </c>
      <c r="P166" s="36">
        <f t="shared" si="78"/>
        <v>320</v>
      </c>
      <c r="Q166" s="36">
        <f t="shared" si="79"/>
        <v>3038</v>
      </c>
      <c r="R166" s="36">
        <f t="shared" si="80"/>
        <v>0</v>
      </c>
      <c r="S166" s="36">
        <f t="shared" si="80"/>
        <v>0</v>
      </c>
      <c r="T166" s="36">
        <f t="shared" si="80"/>
        <v>0</v>
      </c>
      <c r="U166" s="84"/>
      <c r="V166" s="36">
        <f t="shared" si="81"/>
        <v>410.13</v>
      </c>
      <c r="AJ166" s="268"/>
      <c r="AL166" s="268"/>
      <c r="AM166" s="268"/>
      <c r="AQ166" s="30"/>
      <c r="AW166" s="30"/>
      <c r="CN166" s="498"/>
    </row>
    <row r="167" spans="1:92" ht="15" customHeight="1" x14ac:dyDescent="0.2">
      <c r="C167" t="s">
        <v>1917</v>
      </c>
      <c r="N167" s="60"/>
      <c r="O167" s="526">
        <f t="shared" si="77"/>
        <v>12129</v>
      </c>
      <c r="P167" s="526">
        <f t="shared" si="78"/>
        <v>0</v>
      </c>
      <c r="Q167" s="526">
        <f t="shared" si="79"/>
        <v>24258</v>
      </c>
      <c r="R167" s="526">
        <f t="shared" si="80"/>
        <v>0</v>
      </c>
      <c r="S167" s="526">
        <f t="shared" si="80"/>
        <v>0</v>
      </c>
      <c r="T167" s="526">
        <f t="shared" si="80"/>
        <v>0</v>
      </c>
      <c r="U167" s="84"/>
      <c r="V167" s="526">
        <f t="shared" si="81"/>
        <v>3274.83</v>
      </c>
      <c r="AJ167" s="268"/>
      <c r="AL167" s="268"/>
      <c r="AM167" s="268"/>
      <c r="AQ167" s="30"/>
      <c r="AW167" s="30"/>
      <c r="CN167" s="498"/>
    </row>
    <row r="168" spans="1:92" ht="15" customHeight="1" x14ac:dyDescent="0.2">
      <c r="C168" s="31" t="s">
        <v>1999</v>
      </c>
      <c r="N168" s="60"/>
      <c r="O168" s="53">
        <f>SUM(O162:O167)</f>
        <v>35297.5</v>
      </c>
      <c r="P168" s="53">
        <f t="shared" ref="P168:V168" si="83">SUM(P162:P167)</f>
        <v>1328</v>
      </c>
      <c r="Q168" s="53">
        <f t="shared" si="83"/>
        <v>70595</v>
      </c>
      <c r="R168" s="53">
        <f t="shared" si="83"/>
        <v>0</v>
      </c>
      <c r="S168" s="53">
        <f t="shared" si="83"/>
        <v>0</v>
      </c>
      <c r="T168" s="53">
        <f t="shared" si="83"/>
        <v>0</v>
      </c>
      <c r="U168" s="84"/>
      <c r="V168" s="53">
        <f t="shared" si="83"/>
        <v>8939.4050000000007</v>
      </c>
      <c r="AJ168" s="268"/>
      <c r="AL168" s="268"/>
      <c r="AM168" s="268"/>
      <c r="AQ168" s="30"/>
      <c r="AW168" s="30"/>
      <c r="CN168" s="498"/>
    </row>
    <row r="169" spans="1:92" ht="15" customHeight="1" x14ac:dyDescent="0.2">
      <c r="C169" t="s">
        <v>1937</v>
      </c>
      <c r="N169" s="60"/>
      <c r="O169" s="36">
        <f>SUMIF($F$11:$F$152,C169,$O$11:$O$152)</f>
        <v>5608</v>
      </c>
      <c r="P169" s="36">
        <f>SUMIF($F$11:$F$152,C169,$P$11:$P$152)</f>
        <v>0</v>
      </c>
      <c r="Q169" s="36">
        <f>SUMIF($F$11:$F$152,C169,$Q$11:$Q$152)</f>
        <v>11216</v>
      </c>
      <c r="R169" s="36">
        <f>SUMIF($F$21:$F$42,F169,$O$21:$O$42)</f>
        <v>0</v>
      </c>
      <c r="S169" s="36">
        <f>SUMIF($F$21:$F$42,G169,$O$21:$O$42)</f>
        <v>0</v>
      </c>
      <c r="T169" s="36">
        <f>SUMIF($F$21:$F$42,H169,$O$21:$O$42)</f>
        <v>0</v>
      </c>
      <c r="U169" s="84"/>
      <c r="V169" s="36">
        <f>SUMIF($F$11:$F$152,C169,$V$11:$V$152)</f>
        <v>1514.16</v>
      </c>
      <c r="AJ169" s="268"/>
      <c r="AL169" s="268"/>
      <c r="AM169" s="268"/>
      <c r="AQ169" s="30"/>
      <c r="AW169" s="30"/>
      <c r="CN169" s="498"/>
    </row>
    <row r="170" spans="1:92" ht="15" customHeight="1" x14ac:dyDescent="0.2">
      <c r="C170" t="s">
        <v>1999</v>
      </c>
      <c r="N170" s="60"/>
      <c r="O170" s="53">
        <f>SUM(O168:O169)</f>
        <v>40905.5</v>
      </c>
      <c r="P170" s="53">
        <f t="shared" ref="P170:V170" si="84">SUM(P168:P169)</f>
        <v>1328</v>
      </c>
      <c r="Q170" s="53">
        <f t="shared" si="84"/>
        <v>81811</v>
      </c>
      <c r="R170" s="53">
        <f t="shared" si="84"/>
        <v>0</v>
      </c>
      <c r="S170" s="53">
        <f t="shared" si="84"/>
        <v>0</v>
      </c>
      <c r="T170" s="53">
        <f t="shared" si="84"/>
        <v>0</v>
      </c>
      <c r="U170" s="98"/>
      <c r="V170" s="53">
        <f t="shared" si="84"/>
        <v>10453.565000000001</v>
      </c>
      <c r="AJ170" s="268"/>
      <c r="AL170" s="268"/>
      <c r="AM170" s="268"/>
      <c r="AQ170" s="30"/>
      <c r="AW170" s="30"/>
      <c r="CN170" s="498"/>
    </row>
    <row r="171" spans="1:92" ht="15" customHeight="1" thickBot="1" x14ac:dyDescent="0.25">
      <c r="B171" s="31" t="s">
        <v>2000</v>
      </c>
      <c r="N171" s="60"/>
      <c r="O171" s="50">
        <f>O170+O160</f>
        <v>61974.5</v>
      </c>
      <c r="P171" s="50">
        <f t="shared" ref="P171:V171" si="85">P170+P160</f>
        <v>2495</v>
      </c>
      <c r="Q171" s="50">
        <f t="shared" si="85"/>
        <v>129019</v>
      </c>
      <c r="R171" s="50">
        <f t="shared" si="85"/>
        <v>0</v>
      </c>
      <c r="S171" s="50">
        <f t="shared" si="85"/>
        <v>0</v>
      </c>
      <c r="T171" s="50">
        <f t="shared" si="85"/>
        <v>0</v>
      </c>
      <c r="U171" s="84"/>
      <c r="V171" s="50">
        <f t="shared" si="85"/>
        <v>18768.565000000002</v>
      </c>
      <c r="AJ171" s="268"/>
      <c r="AL171" s="268"/>
      <c r="AM171" s="268"/>
      <c r="AQ171" s="30"/>
      <c r="AW171" s="30"/>
      <c r="CN171" s="498"/>
    </row>
    <row r="172" spans="1:92" ht="15" customHeight="1" thickTop="1" x14ac:dyDescent="0.2">
      <c r="N172" s="60"/>
      <c r="U172" s="84"/>
      <c r="V172" s="60"/>
      <c r="AJ172" s="268"/>
      <c r="AL172" s="268"/>
      <c r="AM172" s="268"/>
      <c r="AQ172" s="30"/>
      <c r="AW172" s="30"/>
      <c r="CN172" s="498"/>
    </row>
    <row r="173" spans="1:92" ht="15" customHeight="1" x14ac:dyDescent="0.2">
      <c r="C173" t="s">
        <v>2001</v>
      </c>
      <c r="N173" s="60"/>
      <c r="O173" s="30">
        <f t="shared" ref="O173:T173" si="86">O62+O115+O140+O157</f>
        <v>60866.5</v>
      </c>
      <c r="P173" s="30">
        <f t="shared" si="86"/>
        <v>2495</v>
      </c>
      <c r="Q173" s="30">
        <f t="shared" si="86"/>
        <v>126803</v>
      </c>
      <c r="R173" s="30">
        <f t="shared" si="86"/>
        <v>5.0183552528519675</v>
      </c>
      <c r="S173" s="30" t="e">
        <f t="shared" si="86"/>
        <v>#REF!</v>
      </c>
      <c r="T173" s="30" t="e">
        <f t="shared" si="86"/>
        <v>#REF!</v>
      </c>
      <c r="U173" s="84"/>
      <c r="V173" s="30">
        <f>V62+V115+V140+V157</f>
        <v>18282.115000000002</v>
      </c>
      <c r="AJ173" s="268"/>
      <c r="AL173" s="268"/>
      <c r="AM173" s="268"/>
      <c r="AQ173" s="30"/>
      <c r="AW173" s="30"/>
      <c r="CN173" s="498"/>
    </row>
    <row r="174" spans="1:92" ht="15" customHeight="1" x14ac:dyDescent="0.2">
      <c r="B174" s="31" t="s">
        <v>2030</v>
      </c>
      <c r="N174" s="60"/>
      <c r="V174" s="60"/>
      <c r="AJ174" s="268"/>
      <c r="AL174" s="268"/>
      <c r="AM174" s="268"/>
      <c r="AQ174" s="30"/>
      <c r="AW174" s="30"/>
      <c r="CN174" s="498"/>
    </row>
    <row r="175" spans="1:92" ht="15" customHeight="1" x14ac:dyDescent="0.2">
      <c r="C175" s="65">
        <v>2010</v>
      </c>
      <c r="N175" s="60"/>
      <c r="O175" s="36">
        <f t="shared" ref="O175:O196" si="87">SUMIF($G$11:$G$152,C175,$O$11:$O$152)</f>
        <v>0</v>
      </c>
      <c r="P175" s="36">
        <f t="shared" ref="P175:P196" si="88">SUMIF($G$11:$G$152,C175,$P$11:$P$152)</f>
        <v>0</v>
      </c>
      <c r="Q175" s="36">
        <f t="shared" ref="Q175:Q196" si="89">SUMIF($G$11:$G$152,C175,$Q$11:$Q$152)</f>
        <v>0</v>
      </c>
      <c r="R175" s="36">
        <f t="shared" ref="R175:R196" si="90">SUMIF($G$21:$G$42,F175,$O$21:$O$42)</f>
        <v>0</v>
      </c>
      <c r="S175" s="36">
        <f t="shared" ref="S175:S196" si="91">SUMIF($G$21:$G$42,G175,$O$21:$O$42)</f>
        <v>0</v>
      </c>
      <c r="T175" s="36">
        <f t="shared" ref="T175:T196" si="92">SUMIF($G$21:$G$42,H175,$O$21:$O$42)</f>
        <v>0</v>
      </c>
      <c r="U175" s="84"/>
      <c r="V175" s="36">
        <f t="shared" ref="V175:V196" si="93">SUMIF($G$11:$G$152,C175,$V$11:$V$152)</f>
        <v>0</v>
      </c>
      <c r="AJ175" s="268"/>
      <c r="AL175" s="268"/>
      <c r="AM175" s="268"/>
      <c r="AQ175" s="30"/>
      <c r="AW175" s="30"/>
      <c r="CN175" s="498"/>
    </row>
    <row r="176" spans="1:92" ht="15" customHeight="1" x14ac:dyDescent="0.2">
      <c r="C176" s="65">
        <v>2011</v>
      </c>
      <c r="N176" s="60"/>
      <c r="O176" s="36">
        <f t="shared" si="87"/>
        <v>1194.5</v>
      </c>
      <c r="P176" s="36">
        <f t="shared" si="88"/>
        <v>0</v>
      </c>
      <c r="Q176" s="36">
        <f t="shared" si="89"/>
        <v>2389</v>
      </c>
      <c r="R176" s="36">
        <f t="shared" si="90"/>
        <v>0</v>
      </c>
      <c r="S176" s="36">
        <f t="shared" si="91"/>
        <v>0</v>
      </c>
      <c r="T176" s="36">
        <f t="shared" si="92"/>
        <v>0</v>
      </c>
      <c r="U176" s="84"/>
      <c r="V176" s="36">
        <f t="shared" si="93"/>
        <v>322.51500000000004</v>
      </c>
      <c r="AJ176" s="268"/>
      <c r="AL176" s="268"/>
      <c r="AM176" s="268"/>
      <c r="AQ176" s="30"/>
      <c r="AW176" s="30"/>
      <c r="CN176" s="498"/>
    </row>
    <row r="177" spans="3:92" ht="15" customHeight="1" x14ac:dyDescent="0.2">
      <c r="C177" s="65">
        <v>2012</v>
      </c>
      <c r="N177" s="60"/>
      <c r="O177" s="36">
        <f t="shared" si="87"/>
        <v>0</v>
      </c>
      <c r="P177" s="36">
        <f t="shared" si="88"/>
        <v>0</v>
      </c>
      <c r="Q177" s="36">
        <f t="shared" si="89"/>
        <v>0</v>
      </c>
      <c r="R177" s="36">
        <f t="shared" si="90"/>
        <v>0</v>
      </c>
      <c r="S177" s="36">
        <f t="shared" si="91"/>
        <v>0</v>
      </c>
      <c r="T177" s="36">
        <f t="shared" si="92"/>
        <v>0</v>
      </c>
      <c r="U177" s="84"/>
      <c r="V177" s="36">
        <f t="shared" si="93"/>
        <v>0</v>
      </c>
      <c r="AJ177" s="268"/>
      <c r="AL177" s="268"/>
      <c r="AM177" s="268"/>
      <c r="AQ177" s="30"/>
      <c r="AW177" s="30"/>
      <c r="CN177" s="498"/>
    </row>
    <row r="178" spans="3:92" x14ac:dyDescent="0.2">
      <c r="C178" s="65">
        <v>2013</v>
      </c>
      <c r="O178" s="36">
        <f t="shared" si="87"/>
        <v>0</v>
      </c>
      <c r="P178" s="36">
        <f t="shared" si="88"/>
        <v>0</v>
      </c>
      <c r="Q178" s="36">
        <f t="shared" si="89"/>
        <v>0</v>
      </c>
      <c r="R178" s="36">
        <f t="shared" si="90"/>
        <v>0</v>
      </c>
      <c r="S178" s="36">
        <f t="shared" si="91"/>
        <v>0</v>
      </c>
      <c r="T178" s="36">
        <f t="shared" si="92"/>
        <v>0</v>
      </c>
      <c r="U178" s="84"/>
      <c r="V178" s="36">
        <f t="shared" si="93"/>
        <v>0</v>
      </c>
    </row>
    <row r="179" spans="3:92" ht="15" customHeight="1" x14ac:dyDescent="0.2">
      <c r="C179" s="65">
        <v>2014</v>
      </c>
      <c r="N179" s="60"/>
      <c r="O179" s="36">
        <f t="shared" si="87"/>
        <v>56</v>
      </c>
      <c r="P179" s="36">
        <f t="shared" si="88"/>
        <v>0</v>
      </c>
      <c r="Q179" s="36">
        <f t="shared" si="89"/>
        <v>112</v>
      </c>
      <c r="R179" s="36">
        <f t="shared" si="90"/>
        <v>0</v>
      </c>
      <c r="S179" s="36">
        <f t="shared" si="91"/>
        <v>0</v>
      </c>
      <c r="T179" s="36">
        <f t="shared" si="92"/>
        <v>0</v>
      </c>
      <c r="U179" s="84"/>
      <c r="V179" s="36">
        <f t="shared" si="93"/>
        <v>15.120000000000001</v>
      </c>
      <c r="AJ179" s="268"/>
      <c r="AL179" s="268"/>
      <c r="AM179" s="268"/>
      <c r="AQ179" s="30"/>
      <c r="AW179" s="30"/>
      <c r="CN179" s="498"/>
    </row>
    <row r="180" spans="3:92" ht="15" customHeight="1" x14ac:dyDescent="0.2">
      <c r="C180" s="65">
        <v>2015</v>
      </c>
      <c r="N180" s="60"/>
      <c r="O180" s="36">
        <f t="shared" si="87"/>
        <v>0</v>
      </c>
      <c r="P180" s="36">
        <f t="shared" si="88"/>
        <v>130</v>
      </c>
      <c r="Q180" s="36">
        <f t="shared" si="89"/>
        <v>0</v>
      </c>
      <c r="R180" s="36">
        <f t="shared" si="90"/>
        <v>0</v>
      </c>
      <c r="S180" s="36">
        <f t="shared" si="91"/>
        <v>0</v>
      </c>
      <c r="T180" s="36">
        <f t="shared" si="92"/>
        <v>0</v>
      </c>
      <c r="U180" s="84"/>
      <c r="V180" s="36">
        <f t="shared" si="93"/>
        <v>0</v>
      </c>
      <c r="AJ180" s="268"/>
      <c r="AL180" s="268"/>
      <c r="AM180" s="268"/>
      <c r="AQ180" s="30"/>
      <c r="AW180" s="30"/>
      <c r="CN180" s="498"/>
    </row>
    <row r="181" spans="3:92" ht="15" customHeight="1" x14ac:dyDescent="0.2">
      <c r="C181" s="65">
        <v>2016</v>
      </c>
      <c r="N181" s="60"/>
      <c r="O181" s="36">
        <f t="shared" si="87"/>
        <v>1480</v>
      </c>
      <c r="P181" s="36">
        <f t="shared" si="88"/>
        <v>0</v>
      </c>
      <c r="Q181" s="36">
        <f t="shared" si="89"/>
        <v>2960</v>
      </c>
      <c r="R181" s="36">
        <f t="shared" si="90"/>
        <v>0</v>
      </c>
      <c r="S181" s="36">
        <f t="shared" si="91"/>
        <v>0</v>
      </c>
      <c r="T181" s="36">
        <f t="shared" si="92"/>
        <v>0</v>
      </c>
      <c r="U181" s="84"/>
      <c r="V181" s="36">
        <f t="shared" si="93"/>
        <v>385.88</v>
      </c>
      <c r="AJ181" s="268"/>
      <c r="AL181" s="268"/>
      <c r="AM181" s="268"/>
      <c r="AQ181" s="30"/>
      <c r="AW181" s="30"/>
      <c r="CN181" s="498"/>
    </row>
    <row r="182" spans="3:92" ht="15" customHeight="1" x14ac:dyDescent="0.2">
      <c r="C182" s="65">
        <v>2017</v>
      </c>
      <c r="N182" s="60"/>
      <c r="O182" s="36">
        <f t="shared" si="87"/>
        <v>460</v>
      </c>
      <c r="P182" s="36">
        <f t="shared" si="88"/>
        <v>305</v>
      </c>
      <c r="Q182" s="36">
        <f t="shared" si="89"/>
        <v>920</v>
      </c>
      <c r="R182" s="36">
        <f t="shared" si="90"/>
        <v>0</v>
      </c>
      <c r="S182" s="36">
        <f t="shared" si="91"/>
        <v>0</v>
      </c>
      <c r="T182" s="36">
        <f t="shared" si="92"/>
        <v>0</v>
      </c>
      <c r="U182" s="84"/>
      <c r="V182" s="36">
        <f t="shared" si="93"/>
        <v>124.20000000000002</v>
      </c>
      <c r="AJ182" s="268"/>
      <c r="AL182" s="268"/>
      <c r="AM182" s="268"/>
      <c r="AQ182" s="30"/>
      <c r="AW182" s="30"/>
      <c r="CN182" s="498"/>
    </row>
    <row r="183" spans="3:92" ht="15" customHeight="1" x14ac:dyDescent="0.2">
      <c r="C183" s="65">
        <v>2018</v>
      </c>
      <c r="N183" s="60"/>
      <c r="O183" s="36">
        <f t="shared" si="87"/>
        <v>89</v>
      </c>
      <c r="P183" s="36">
        <f t="shared" si="88"/>
        <v>0</v>
      </c>
      <c r="Q183" s="36">
        <f t="shared" si="89"/>
        <v>178</v>
      </c>
      <c r="R183" s="36">
        <f t="shared" si="90"/>
        <v>0</v>
      </c>
      <c r="S183" s="36">
        <f t="shared" si="91"/>
        <v>0</v>
      </c>
      <c r="T183" s="36">
        <f t="shared" si="92"/>
        <v>0</v>
      </c>
      <c r="U183" s="84"/>
      <c r="V183" s="36">
        <f t="shared" si="93"/>
        <v>26</v>
      </c>
      <c r="AJ183" s="268"/>
      <c r="AL183" s="268"/>
      <c r="AM183" s="268"/>
      <c r="AQ183" s="30"/>
      <c r="AW183" s="30"/>
      <c r="CN183" s="498"/>
    </row>
    <row r="184" spans="3:92" ht="15" customHeight="1" x14ac:dyDescent="0.2">
      <c r="C184" s="65">
        <v>2019</v>
      </c>
      <c r="N184" s="60"/>
      <c r="O184" s="36">
        <f t="shared" si="87"/>
        <v>864</v>
      </c>
      <c r="P184" s="36">
        <f t="shared" si="88"/>
        <v>0</v>
      </c>
      <c r="Q184" s="36">
        <f t="shared" si="89"/>
        <v>1728</v>
      </c>
      <c r="R184" s="36">
        <f t="shared" si="90"/>
        <v>0</v>
      </c>
      <c r="S184" s="36">
        <f t="shared" si="91"/>
        <v>0</v>
      </c>
      <c r="T184" s="36">
        <f t="shared" si="92"/>
        <v>0</v>
      </c>
      <c r="U184" s="84"/>
      <c r="V184" s="36">
        <f t="shared" si="93"/>
        <v>415.48</v>
      </c>
      <c r="AJ184" s="268"/>
      <c r="AL184" s="268"/>
      <c r="AM184" s="268"/>
      <c r="AQ184" s="30"/>
      <c r="AW184" s="30"/>
      <c r="CN184" s="498"/>
    </row>
    <row r="185" spans="3:92" ht="15" customHeight="1" x14ac:dyDescent="0.2">
      <c r="C185" s="65">
        <v>2020</v>
      </c>
      <c r="N185" s="60"/>
      <c r="O185" s="36">
        <f t="shared" si="87"/>
        <v>3080</v>
      </c>
      <c r="P185" s="36">
        <f t="shared" si="88"/>
        <v>0</v>
      </c>
      <c r="Q185" s="36">
        <f t="shared" si="89"/>
        <v>6160</v>
      </c>
      <c r="R185" s="36">
        <f t="shared" si="90"/>
        <v>0</v>
      </c>
      <c r="S185" s="36">
        <f t="shared" si="91"/>
        <v>0</v>
      </c>
      <c r="T185" s="36">
        <f t="shared" si="92"/>
        <v>0</v>
      </c>
      <c r="U185" s="84"/>
      <c r="V185" s="36">
        <f t="shared" si="93"/>
        <v>450.7</v>
      </c>
      <c r="AJ185" s="268"/>
      <c r="AL185" s="268"/>
      <c r="AM185" s="268"/>
      <c r="AQ185" s="30"/>
      <c r="AW185" s="30"/>
      <c r="CN185" s="498"/>
    </row>
    <row r="186" spans="3:92" ht="15" customHeight="1" x14ac:dyDescent="0.2">
      <c r="C186" s="65">
        <v>2021</v>
      </c>
      <c r="N186" s="60"/>
      <c r="O186" s="36">
        <f t="shared" si="87"/>
        <v>2544</v>
      </c>
      <c r="P186" s="36">
        <f t="shared" si="88"/>
        <v>0</v>
      </c>
      <c r="Q186" s="36">
        <f t="shared" si="89"/>
        <v>5088</v>
      </c>
      <c r="R186" s="36">
        <f t="shared" si="90"/>
        <v>0</v>
      </c>
      <c r="S186" s="36">
        <f t="shared" si="91"/>
        <v>0</v>
      </c>
      <c r="T186" s="36">
        <f t="shared" si="92"/>
        <v>0</v>
      </c>
      <c r="U186" s="84"/>
      <c r="V186" s="36">
        <f t="shared" si="93"/>
        <v>513.02</v>
      </c>
      <c r="AJ186" s="268"/>
      <c r="AL186" s="268"/>
      <c r="AM186" s="268"/>
      <c r="AQ186" s="30"/>
      <c r="AW186" s="30"/>
      <c r="CN186" s="498"/>
    </row>
    <row r="187" spans="3:92" ht="15" customHeight="1" x14ac:dyDescent="0.2">
      <c r="C187" s="65">
        <v>2022</v>
      </c>
      <c r="N187" s="60"/>
      <c r="O187" s="36">
        <f t="shared" si="87"/>
        <v>2980</v>
      </c>
      <c r="P187" s="36">
        <f t="shared" si="88"/>
        <v>0</v>
      </c>
      <c r="Q187" s="36">
        <f t="shared" si="89"/>
        <v>5960</v>
      </c>
      <c r="R187" s="36">
        <f t="shared" si="90"/>
        <v>0</v>
      </c>
      <c r="S187" s="36">
        <f t="shared" si="91"/>
        <v>0</v>
      </c>
      <c r="T187" s="36">
        <f t="shared" si="92"/>
        <v>0</v>
      </c>
      <c r="U187" s="84"/>
      <c r="V187" s="36">
        <f t="shared" si="93"/>
        <v>789.34</v>
      </c>
      <c r="AJ187" s="268"/>
      <c r="AL187" s="268"/>
      <c r="AM187" s="268"/>
      <c r="AQ187" s="30"/>
      <c r="AW187" s="30"/>
      <c r="CN187" s="498"/>
    </row>
    <row r="188" spans="3:92" ht="15" customHeight="1" x14ac:dyDescent="0.2">
      <c r="C188" s="65">
        <v>2023</v>
      </c>
      <c r="N188" s="60"/>
      <c r="O188" s="36">
        <f t="shared" si="87"/>
        <v>972</v>
      </c>
      <c r="P188" s="36">
        <f t="shared" si="88"/>
        <v>273</v>
      </c>
      <c r="Q188" s="36">
        <f t="shared" si="89"/>
        <v>1944</v>
      </c>
      <c r="R188" s="36">
        <f t="shared" si="90"/>
        <v>0</v>
      </c>
      <c r="S188" s="36">
        <f t="shared" si="91"/>
        <v>0</v>
      </c>
      <c r="T188" s="36">
        <f t="shared" si="92"/>
        <v>0</v>
      </c>
      <c r="U188" s="84"/>
      <c r="V188" s="36">
        <f t="shared" si="93"/>
        <v>216</v>
      </c>
      <c r="AJ188" s="268"/>
      <c r="AL188" s="268"/>
      <c r="AM188" s="268"/>
      <c r="AQ188" s="30"/>
      <c r="AW188" s="30"/>
      <c r="CN188" s="498"/>
    </row>
    <row r="189" spans="3:92" ht="15" customHeight="1" x14ac:dyDescent="0.2">
      <c r="C189" s="65">
        <v>2024</v>
      </c>
      <c r="N189" s="60"/>
      <c r="O189" s="36">
        <f t="shared" si="87"/>
        <v>2139</v>
      </c>
      <c r="P189" s="36">
        <f t="shared" si="88"/>
        <v>0</v>
      </c>
      <c r="Q189" s="36">
        <f t="shared" si="89"/>
        <v>4278</v>
      </c>
      <c r="R189" s="36">
        <f t="shared" si="90"/>
        <v>0</v>
      </c>
      <c r="S189" s="36">
        <f t="shared" si="91"/>
        <v>0</v>
      </c>
      <c r="T189" s="36">
        <f t="shared" si="92"/>
        <v>0</v>
      </c>
      <c r="U189" s="84"/>
      <c r="V189" s="36">
        <f t="shared" si="93"/>
        <v>577.53</v>
      </c>
      <c r="AJ189" s="268"/>
      <c r="AL189" s="268"/>
      <c r="AM189" s="268"/>
      <c r="AQ189" s="30"/>
      <c r="AW189" s="30"/>
      <c r="CN189" s="498"/>
    </row>
    <row r="190" spans="3:92" ht="15" customHeight="1" x14ac:dyDescent="0.2">
      <c r="C190" s="65">
        <v>2025</v>
      </c>
      <c r="N190" s="60"/>
      <c r="O190" s="36">
        <f t="shared" si="87"/>
        <v>3297</v>
      </c>
      <c r="P190" s="36">
        <f t="shared" si="88"/>
        <v>320</v>
      </c>
      <c r="Q190" s="36">
        <f t="shared" si="89"/>
        <v>6594</v>
      </c>
      <c r="R190" s="36">
        <f t="shared" si="90"/>
        <v>0</v>
      </c>
      <c r="S190" s="36">
        <f t="shared" si="91"/>
        <v>0</v>
      </c>
      <c r="T190" s="36">
        <f t="shared" si="92"/>
        <v>0</v>
      </c>
      <c r="U190" s="84"/>
      <c r="V190" s="36">
        <f t="shared" si="93"/>
        <v>906.49</v>
      </c>
      <c r="AJ190" s="268"/>
      <c r="AL190" s="268"/>
      <c r="AM190" s="268"/>
      <c r="AQ190" s="30"/>
      <c r="AW190" s="30"/>
      <c r="CN190" s="498"/>
    </row>
    <row r="191" spans="3:92" ht="15" customHeight="1" x14ac:dyDescent="0.2">
      <c r="C191" s="65">
        <v>2026</v>
      </c>
      <c r="N191" s="60"/>
      <c r="O191" s="36">
        <f t="shared" si="87"/>
        <v>4937</v>
      </c>
      <c r="P191" s="36">
        <f t="shared" si="88"/>
        <v>0</v>
      </c>
      <c r="Q191" s="36">
        <f t="shared" si="89"/>
        <v>9874</v>
      </c>
      <c r="R191" s="36">
        <f t="shared" si="90"/>
        <v>0</v>
      </c>
      <c r="S191" s="36">
        <f t="shared" si="91"/>
        <v>0</v>
      </c>
      <c r="T191" s="36">
        <f t="shared" si="92"/>
        <v>0</v>
      </c>
      <c r="U191" s="84"/>
      <c r="V191" s="36">
        <f t="shared" si="93"/>
        <v>1431.48</v>
      </c>
      <c r="AJ191" s="268"/>
      <c r="AL191" s="268"/>
      <c r="AM191" s="268"/>
      <c r="AQ191" s="30"/>
      <c r="AW191" s="30"/>
      <c r="CN191" s="498"/>
    </row>
    <row r="192" spans="3:92" ht="15" customHeight="1" x14ac:dyDescent="0.2">
      <c r="C192" s="65">
        <v>2027</v>
      </c>
      <c r="N192" s="60"/>
      <c r="O192" s="36">
        <f t="shared" si="87"/>
        <v>0</v>
      </c>
      <c r="P192" s="36">
        <f t="shared" si="88"/>
        <v>0</v>
      </c>
      <c r="Q192" s="36">
        <f t="shared" si="89"/>
        <v>0</v>
      </c>
      <c r="R192" s="36">
        <f t="shared" si="90"/>
        <v>0</v>
      </c>
      <c r="S192" s="36">
        <f t="shared" si="91"/>
        <v>0</v>
      </c>
      <c r="T192" s="36">
        <f t="shared" si="92"/>
        <v>0</v>
      </c>
      <c r="U192" s="84"/>
      <c r="V192" s="36">
        <f t="shared" si="93"/>
        <v>0</v>
      </c>
      <c r="AJ192" s="268"/>
      <c r="AL192" s="268"/>
      <c r="AM192" s="268"/>
      <c r="AQ192" s="30"/>
      <c r="AW192" s="30"/>
      <c r="CN192" s="498"/>
    </row>
    <row r="193" spans="1:94" ht="15" customHeight="1" x14ac:dyDescent="0.2">
      <c r="C193" s="65">
        <v>2028</v>
      </c>
      <c r="N193" s="60"/>
      <c r="O193" s="36">
        <f t="shared" si="87"/>
        <v>4326</v>
      </c>
      <c r="P193" s="36">
        <f t="shared" si="88"/>
        <v>300</v>
      </c>
      <c r="Q193" s="36">
        <f t="shared" si="89"/>
        <v>8652</v>
      </c>
      <c r="R193" s="36">
        <f t="shared" si="90"/>
        <v>0</v>
      </c>
      <c r="S193" s="36">
        <f t="shared" si="91"/>
        <v>0</v>
      </c>
      <c r="T193" s="36">
        <f t="shared" si="92"/>
        <v>0</v>
      </c>
      <c r="U193" s="84"/>
      <c r="V193" s="36">
        <f t="shared" si="93"/>
        <v>908.32</v>
      </c>
      <c r="AJ193" s="268"/>
      <c r="AL193" s="268"/>
      <c r="AM193" s="268"/>
      <c r="AQ193" s="30"/>
      <c r="AW193" s="30"/>
      <c r="CN193" s="498"/>
    </row>
    <row r="194" spans="1:94" ht="15" customHeight="1" x14ac:dyDescent="0.2">
      <c r="C194" s="65">
        <v>2029</v>
      </c>
      <c r="N194" s="60"/>
      <c r="O194" s="36">
        <f t="shared" si="87"/>
        <v>0</v>
      </c>
      <c r="P194" s="36">
        <f t="shared" si="88"/>
        <v>0</v>
      </c>
      <c r="Q194" s="36">
        <f t="shared" si="89"/>
        <v>0</v>
      </c>
      <c r="R194" s="36">
        <f t="shared" si="90"/>
        <v>0</v>
      </c>
      <c r="S194" s="36">
        <f t="shared" si="91"/>
        <v>0</v>
      </c>
      <c r="T194" s="36">
        <f t="shared" si="92"/>
        <v>0</v>
      </c>
      <c r="U194" s="84"/>
      <c r="V194" s="36">
        <f t="shared" si="93"/>
        <v>0</v>
      </c>
      <c r="AJ194" s="268"/>
      <c r="AL194" s="268"/>
      <c r="AM194" s="268"/>
      <c r="AQ194" s="30"/>
      <c r="AW194" s="30"/>
      <c r="CN194" s="498"/>
    </row>
    <row r="195" spans="1:94" ht="15" customHeight="1" x14ac:dyDescent="0.2">
      <c r="C195" s="65">
        <v>2030</v>
      </c>
      <c r="N195" s="60"/>
      <c r="O195" s="36">
        <f t="shared" si="87"/>
        <v>283</v>
      </c>
      <c r="P195" s="36">
        <f t="shared" si="88"/>
        <v>0</v>
      </c>
      <c r="Q195" s="36">
        <f t="shared" si="89"/>
        <v>566</v>
      </c>
      <c r="R195" s="36">
        <f t="shared" si="90"/>
        <v>0</v>
      </c>
      <c r="S195" s="36">
        <f t="shared" si="91"/>
        <v>0</v>
      </c>
      <c r="T195" s="36">
        <f t="shared" si="92"/>
        <v>0</v>
      </c>
      <c r="U195" s="84"/>
      <c r="V195" s="36">
        <f t="shared" si="93"/>
        <v>76.410000000000011</v>
      </c>
      <c r="AJ195" s="268"/>
      <c r="AL195" s="268"/>
      <c r="AM195" s="268"/>
      <c r="AQ195" s="30"/>
      <c r="AW195" s="30"/>
      <c r="CN195" s="498"/>
    </row>
    <row r="196" spans="1:94" ht="15" customHeight="1" x14ac:dyDescent="0.2">
      <c r="C196" s="65">
        <v>2031</v>
      </c>
      <c r="N196" s="60"/>
      <c r="O196" s="526">
        <f t="shared" si="87"/>
        <v>12204</v>
      </c>
      <c r="P196" s="526">
        <f t="shared" si="88"/>
        <v>0</v>
      </c>
      <c r="Q196" s="526">
        <f t="shared" si="89"/>
        <v>24408</v>
      </c>
      <c r="R196" s="526">
        <f t="shared" si="90"/>
        <v>0</v>
      </c>
      <c r="S196" s="526">
        <f t="shared" si="91"/>
        <v>0</v>
      </c>
      <c r="T196" s="526">
        <f t="shared" si="92"/>
        <v>0</v>
      </c>
      <c r="U196" s="84"/>
      <c r="V196" s="526">
        <f t="shared" si="93"/>
        <v>3295.08</v>
      </c>
      <c r="AJ196" s="268"/>
      <c r="AL196" s="268"/>
      <c r="AM196" s="268"/>
      <c r="AQ196" s="30"/>
      <c r="AW196" s="30"/>
      <c r="CN196" s="498"/>
    </row>
    <row r="197" spans="1:94" ht="15" customHeight="1" x14ac:dyDescent="0.2">
      <c r="N197" s="137"/>
      <c r="O197" s="44">
        <f>SUM(O175:O196)</f>
        <v>40905.5</v>
      </c>
      <c r="P197" s="44">
        <f t="shared" ref="P197:V197" si="94">SUM(P175:P196)</f>
        <v>1328</v>
      </c>
      <c r="Q197" s="44">
        <f t="shared" si="94"/>
        <v>81811</v>
      </c>
      <c r="R197" s="44">
        <f t="shared" si="94"/>
        <v>0</v>
      </c>
      <c r="S197" s="44">
        <f t="shared" si="94"/>
        <v>0</v>
      </c>
      <c r="T197" s="44">
        <f t="shared" si="94"/>
        <v>0</v>
      </c>
      <c r="U197" s="98"/>
      <c r="V197" s="44">
        <f t="shared" si="94"/>
        <v>10453.564999999999</v>
      </c>
      <c r="AJ197" s="268"/>
      <c r="AL197" s="268"/>
      <c r="AM197" s="268"/>
      <c r="AQ197" s="30"/>
      <c r="AW197" s="30"/>
      <c r="CN197" s="498"/>
    </row>
    <row r="198" spans="1:94" ht="15" customHeight="1" x14ac:dyDescent="0.2">
      <c r="N198" s="60"/>
      <c r="O198" s="30">
        <f>O197-O170</f>
        <v>0</v>
      </c>
      <c r="P198" s="30">
        <f t="shared" ref="P198:V198" si="95">P197-P170</f>
        <v>0</v>
      </c>
      <c r="Q198" s="30">
        <f t="shared" si="95"/>
        <v>0</v>
      </c>
      <c r="R198" s="30">
        <f t="shared" si="95"/>
        <v>0</v>
      </c>
      <c r="S198" s="30">
        <f t="shared" si="95"/>
        <v>0</v>
      </c>
      <c r="T198" s="30">
        <f t="shared" si="95"/>
        <v>0</v>
      </c>
      <c r="U198" s="84"/>
      <c r="V198" s="30">
        <f t="shared" si="95"/>
        <v>0</v>
      </c>
      <c r="AJ198" s="268"/>
      <c r="AL198" s="268"/>
      <c r="AM198" s="268"/>
      <c r="AQ198" s="30"/>
      <c r="AW198" s="30"/>
      <c r="CN198" s="498"/>
    </row>
    <row r="199" spans="1:94" ht="29" customHeight="1" x14ac:dyDescent="0.25">
      <c r="A199" s="79" t="s">
        <v>253</v>
      </c>
      <c r="B199" s="80"/>
      <c r="C199" s="80"/>
      <c r="D199" s="80"/>
      <c r="E199" s="80"/>
      <c r="F199" s="80"/>
      <c r="G199" s="81"/>
      <c r="H199" s="514"/>
      <c r="I199" s="81"/>
      <c r="J199" s="80"/>
      <c r="K199" s="80"/>
      <c r="L199" s="81"/>
      <c r="M199" s="80"/>
      <c r="N199" s="82"/>
      <c r="O199" s="81"/>
      <c r="P199" s="81"/>
      <c r="Q199" s="81"/>
      <c r="R199" s="80"/>
      <c r="S199" s="81"/>
      <c r="T199" s="81"/>
      <c r="U199" s="80"/>
      <c r="V199" s="82"/>
      <c r="W199" s="531"/>
      <c r="AD199" s="43" t="s">
        <v>1802</v>
      </c>
      <c r="AE199" s="268" t="s">
        <v>1803</v>
      </c>
      <c r="AF199" s="43" t="s">
        <v>1787</v>
      </c>
      <c r="AG199" s="43" t="s">
        <v>1779</v>
      </c>
      <c r="AH199" s="364">
        <v>40801</v>
      </c>
      <c r="AI199" s="364">
        <v>40801</v>
      </c>
      <c r="AJ199" s="268" t="s">
        <v>1803</v>
      </c>
      <c r="AK199" s="43" t="s">
        <v>1424</v>
      </c>
      <c r="AL199" s="268" t="s">
        <v>1804</v>
      </c>
      <c r="AM199" s="268" t="s">
        <v>1052</v>
      </c>
      <c r="AN199" s="43">
        <v>0.28000000000000003</v>
      </c>
      <c r="AO199" s="30" t="s">
        <v>1576</v>
      </c>
      <c r="AP199" s="30">
        <v>1282</v>
      </c>
      <c r="AQ199" s="30">
        <v>3</v>
      </c>
      <c r="AR199" s="43" t="s">
        <v>1576</v>
      </c>
      <c r="AS199" s="43" t="s">
        <v>1576</v>
      </c>
      <c r="AT199" s="43">
        <v>29.9</v>
      </c>
      <c r="AU199" s="43">
        <v>37.9</v>
      </c>
      <c r="AV199" s="43">
        <v>93.2</v>
      </c>
      <c r="AW199" s="30">
        <v>932</v>
      </c>
      <c r="AX199" s="43">
        <v>0</v>
      </c>
      <c r="AY199" s="43">
        <v>24</v>
      </c>
      <c r="AZ199" s="43">
        <v>23</v>
      </c>
      <c r="BA199" s="43">
        <v>13</v>
      </c>
      <c r="BB199" s="43">
        <v>0</v>
      </c>
      <c r="BC199" s="43">
        <v>0</v>
      </c>
      <c r="BD199" s="43">
        <f>SUM(AX199:BC199)</f>
        <v>60</v>
      </c>
      <c r="BE199" s="43">
        <v>0</v>
      </c>
      <c r="BF199" s="43">
        <v>9</v>
      </c>
      <c r="BG199" s="43">
        <v>20</v>
      </c>
      <c r="BH199" s="43">
        <v>18</v>
      </c>
      <c r="BI199" s="43">
        <v>7</v>
      </c>
      <c r="BJ199" s="43">
        <v>1</v>
      </c>
      <c r="BK199" s="43">
        <f t="shared" si="74"/>
        <v>55</v>
      </c>
      <c r="BL199" s="43">
        <v>0</v>
      </c>
      <c r="BM199" s="43">
        <v>0</v>
      </c>
      <c r="BN199" s="43">
        <v>0</v>
      </c>
      <c r="BO199" s="43">
        <v>0</v>
      </c>
      <c r="BP199" s="43">
        <v>0</v>
      </c>
      <c r="BQ199" s="43">
        <v>0</v>
      </c>
      <c r="BR199" s="43">
        <f t="shared" si="75"/>
        <v>0</v>
      </c>
      <c r="BS199" s="30">
        <f>SUM(BD199+BK199+BR199)</f>
        <v>115</v>
      </c>
      <c r="CE199" s="30">
        <v>1</v>
      </c>
      <c r="CF199" s="30">
        <v>166</v>
      </c>
      <c r="CG199" s="43" t="s">
        <v>1576</v>
      </c>
      <c r="CH199" s="43">
        <v>13</v>
      </c>
      <c r="CI199" s="372" t="s">
        <v>1805</v>
      </c>
      <c r="CJ199" s="372" t="s">
        <v>1576</v>
      </c>
      <c r="CN199" s="425"/>
    </row>
    <row r="200" spans="1:94" ht="6" customHeight="1" x14ac:dyDescent="0.25">
      <c r="A200" s="105"/>
      <c r="B200" s="84"/>
      <c r="C200" s="84"/>
      <c r="D200" s="84"/>
      <c r="E200" s="84"/>
      <c r="F200" s="84"/>
      <c r="G200" s="87"/>
      <c r="H200" s="511"/>
      <c r="I200" s="87"/>
      <c r="J200" s="84"/>
      <c r="K200" s="84"/>
      <c r="L200" s="87"/>
      <c r="M200" s="84"/>
      <c r="N200" s="84"/>
      <c r="O200" s="87"/>
      <c r="P200" s="87"/>
      <c r="Q200" s="87"/>
      <c r="R200" s="84"/>
      <c r="S200" s="87"/>
      <c r="T200" s="87"/>
      <c r="U200" s="84"/>
      <c r="V200" s="88"/>
      <c r="W200" s="532"/>
      <c r="AD200" s="43" t="s">
        <v>1807</v>
      </c>
      <c r="AE200" s="268" t="s">
        <v>1808</v>
      </c>
      <c r="AF200" s="43" t="s">
        <v>1809</v>
      </c>
      <c r="AG200" s="43" t="s">
        <v>1779</v>
      </c>
      <c r="AH200" s="364">
        <v>40211</v>
      </c>
      <c r="AI200" s="364">
        <v>40211</v>
      </c>
      <c r="AJ200" s="268" t="s">
        <v>1810</v>
      </c>
      <c r="AK200" s="43" t="s">
        <v>1424</v>
      </c>
      <c r="AL200" s="268" t="s">
        <v>1811</v>
      </c>
      <c r="AM200" s="268" t="s">
        <v>1812</v>
      </c>
      <c r="AN200" s="43" t="s">
        <v>1576</v>
      </c>
      <c r="AO200" s="30" t="s">
        <v>1576</v>
      </c>
      <c r="AP200" s="30">
        <v>322</v>
      </c>
      <c r="AQ200" s="30" t="s">
        <v>1813</v>
      </c>
      <c r="AR200" s="43" t="s">
        <v>1576</v>
      </c>
      <c r="AS200" s="43" t="s">
        <v>1576</v>
      </c>
      <c r="AT200" s="43" t="s">
        <v>1576</v>
      </c>
      <c r="AU200" s="43" t="s">
        <v>1576</v>
      </c>
      <c r="AV200" s="43" t="s">
        <v>1576</v>
      </c>
      <c r="AW200" s="30" t="s">
        <v>1576</v>
      </c>
      <c r="AX200" s="43">
        <v>1</v>
      </c>
      <c r="AY200" s="43">
        <v>44</v>
      </c>
      <c r="AZ200" s="43">
        <v>30</v>
      </c>
      <c r="BA200" s="43">
        <v>15</v>
      </c>
      <c r="BB200" s="43">
        <v>0</v>
      </c>
      <c r="BC200" s="43">
        <v>0</v>
      </c>
      <c r="BD200" s="43">
        <f>SUM(AX200:BC200)</f>
        <v>90</v>
      </c>
      <c r="BE200" s="43">
        <v>0</v>
      </c>
      <c r="BF200" s="43">
        <v>0</v>
      </c>
      <c r="BG200" s="43">
        <v>8</v>
      </c>
      <c r="BH200" s="43">
        <v>4</v>
      </c>
      <c r="BI200" s="43">
        <v>16</v>
      </c>
      <c r="BJ200" s="43">
        <v>4</v>
      </c>
      <c r="BK200" s="43">
        <f t="shared" si="74"/>
        <v>32</v>
      </c>
      <c r="BL200" s="43">
        <v>0</v>
      </c>
      <c r="BM200" s="43">
        <v>5</v>
      </c>
      <c r="BN200" s="43">
        <v>13</v>
      </c>
      <c r="BO200" s="43">
        <v>4</v>
      </c>
      <c r="BP200" s="43">
        <v>0</v>
      </c>
      <c r="BQ200" s="43">
        <v>0</v>
      </c>
      <c r="BR200" s="43">
        <f t="shared" si="75"/>
        <v>22</v>
      </c>
      <c r="BS200" s="30">
        <f>SUM(BD200+BK200+BR200)</f>
        <v>144</v>
      </c>
      <c r="CE200" s="30">
        <v>29</v>
      </c>
      <c r="CF200" s="30">
        <v>147</v>
      </c>
      <c r="CG200" s="43" t="s">
        <v>1576</v>
      </c>
      <c r="CH200" s="43">
        <v>20</v>
      </c>
      <c r="CI200" s="372" t="s">
        <v>1576</v>
      </c>
      <c r="CJ200" s="372" t="s">
        <v>1576</v>
      </c>
      <c r="CN200" s="425" t="s">
        <v>1814</v>
      </c>
    </row>
    <row r="201" spans="1:94" ht="64" x14ac:dyDescent="0.2">
      <c r="A201" s="83"/>
      <c r="B201" s="84"/>
      <c r="C201" s="84"/>
      <c r="D201" s="84"/>
      <c r="E201" s="84"/>
      <c r="F201" s="84"/>
      <c r="G201" s="87"/>
      <c r="H201" s="511"/>
      <c r="I201" s="87"/>
      <c r="J201" s="84"/>
      <c r="K201" s="84"/>
      <c r="L201" s="87"/>
      <c r="M201" s="84"/>
      <c r="N201" s="84"/>
      <c r="O201" s="85" t="s">
        <v>206</v>
      </c>
      <c r="P201" s="85" t="s">
        <v>1348</v>
      </c>
      <c r="Q201" s="86" t="s">
        <v>207</v>
      </c>
      <c r="R201" s="84"/>
      <c r="S201" s="87"/>
      <c r="T201" s="87"/>
      <c r="U201" s="84"/>
      <c r="V201" s="99" t="s">
        <v>258</v>
      </c>
      <c r="W201" s="532"/>
    </row>
    <row r="202" spans="1:94" ht="6" customHeight="1" x14ac:dyDescent="0.2">
      <c r="A202" s="83"/>
      <c r="B202" s="84"/>
      <c r="C202" s="84"/>
      <c r="D202" s="84"/>
      <c r="E202" s="84"/>
      <c r="F202" s="84"/>
      <c r="G202" s="87"/>
      <c r="H202" s="511"/>
      <c r="I202" s="87"/>
      <c r="J202" s="84"/>
      <c r="K202" s="84"/>
      <c r="L202" s="87"/>
      <c r="M202" s="84"/>
      <c r="N202" s="84"/>
      <c r="O202" s="87"/>
      <c r="P202" s="87"/>
      <c r="Q202" s="87"/>
      <c r="R202" s="84"/>
      <c r="S202" s="87"/>
      <c r="T202" s="87"/>
      <c r="U202" s="84"/>
      <c r="V202" s="88"/>
      <c r="W202" s="532"/>
    </row>
    <row r="203" spans="1:94" x14ac:dyDescent="0.2">
      <c r="A203" s="90"/>
      <c r="B203" s="98" t="s">
        <v>203</v>
      </c>
      <c r="C203" s="84"/>
      <c r="D203" s="84"/>
      <c r="E203" s="84"/>
      <c r="F203" s="84"/>
      <c r="G203" s="87"/>
      <c r="H203" s="511"/>
      <c r="I203" s="87"/>
      <c r="J203" s="84"/>
      <c r="K203" s="84"/>
      <c r="L203" s="87"/>
      <c r="M203" s="84"/>
      <c r="N203" s="84"/>
      <c r="O203" s="36">
        <f>O10+O68+O121+O144</f>
        <v>21069</v>
      </c>
      <c r="P203" s="36">
        <f>P10+P68+P121+P144</f>
        <v>1167</v>
      </c>
      <c r="Q203" s="36">
        <f>Q10+Q68+Q121+Q144</f>
        <v>47208</v>
      </c>
      <c r="R203" s="35"/>
      <c r="S203" s="87"/>
      <c r="T203" s="62"/>
      <c r="U203" s="35"/>
      <c r="V203" s="36">
        <f>V10+V68+V121+V144</f>
        <v>8315</v>
      </c>
      <c r="W203" s="532"/>
    </row>
    <row r="204" spans="1:94" ht="6" customHeight="1" x14ac:dyDescent="0.2">
      <c r="A204" s="90"/>
      <c r="B204" s="98"/>
      <c r="C204" s="84"/>
      <c r="D204" s="84"/>
      <c r="E204" s="84"/>
      <c r="F204" s="84"/>
      <c r="G204" s="87"/>
      <c r="H204" s="511"/>
      <c r="I204" s="87"/>
      <c r="J204" s="84"/>
      <c r="K204" s="84"/>
      <c r="L204" s="87"/>
      <c r="M204" s="84"/>
      <c r="N204" s="84"/>
      <c r="O204" s="36"/>
      <c r="P204" s="36"/>
      <c r="Q204" s="36"/>
      <c r="R204" s="35"/>
      <c r="S204" s="87"/>
      <c r="T204" s="62"/>
      <c r="U204" s="35"/>
      <c r="V204" s="36"/>
      <c r="W204" s="532"/>
    </row>
    <row r="205" spans="1:94" s="31" customFormat="1" x14ac:dyDescent="0.2">
      <c r="A205" s="97"/>
      <c r="B205" s="98" t="s">
        <v>1546</v>
      </c>
      <c r="C205" s="98"/>
      <c r="D205" s="98"/>
      <c r="E205" s="98"/>
      <c r="F205" s="98"/>
      <c r="G205" s="125"/>
      <c r="H205" s="515"/>
      <c r="I205" s="125"/>
      <c r="J205" s="98"/>
      <c r="K205" s="98"/>
      <c r="L205" s="125"/>
      <c r="M205" s="98"/>
      <c r="N205" s="98"/>
      <c r="O205" s="53">
        <f t="shared" ref="O205:T205" si="96">O140+O107+O51+O157</f>
        <v>56366.5</v>
      </c>
      <c r="P205" s="53">
        <f t="shared" si="96"/>
        <v>2495</v>
      </c>
      <c r="Q205" s="53">
        <f t="shared" si="96"/>
        <v>117803</v>
      </c>
      <c r="R205" s="53">
        <f t="shared" si="96"/>
        <v>7.0456014416291328</v>
      </c>
      <c r="S205" s="53" t="e">
        <f t="shared" si="96"/>
        <v>#VALUE!</v>
      </c>
      <c r="T205" s="53">
        <f t="shared" si="96"/>
        <v>4.7257383966244682E-2</v>
      </c>
      <c r="U205" s="53"/>
      <c r="V205" s="53">
        <f>V140+V107+V51+V157</f>
        <v>17067.114999999998</v>
      </c>
      <c r="W205" s="533"/>
      <c r="Y205"/>
      <c r="Z205"/>
      <c r="AD205" s="43"/>
      <c r="AE205" s="268"/>
      <c r="AF205" s="43"/>
      <c r="AG205" s="43"/>
      <c r="AH205" s="364"/>
      <c r="AI205" s="364"/>
      <c r="AJ205" s="43"/>
      <c r="AK205" s="43"/>
      <c r="AL205" s="43"/>
      <c r="AM205" s="43"/>
      <c r="AN205" s="43"/>
      <c r="AO205" s="30"/>
      <c r="AP205" s="30"/>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30"/>
      <c r="BT205" s="30"/>
      <c r="BU205" s="30"/>
      <c r="BV205" s="30"/>
      <c r="BW205" s="30"/>
      <c r="BX205" s="30"/>
      <c r="BY205" s="30"/>
      <c r="BZ205" s="30"/>
      <c r="CA205" s="30"/>
      <c r="CB205" s="30"/>
      <c r="CC205" s="30"/>
      <c r="CD205" s="30"/>
      <c r="CE205" s="30"/>
      <c r="CF205" s="30"/>
      <c r="CG205" s="43"/>
      <c r="CH205" s="43"/>
      <c r="CI205" s="372"/>
      <c r="CJ205" s="372"/>
      <c r="CK205" s="43"/>
      <c r="CL205" s="43"/>
      <c r="CM205" s="43"/>
      <c r="CN205" s="43"/>
      <c r="CO205" s="43"/>
      <c r="CP205" s="43"/>
    </row>
    <row r="206" spans="1:94" s="31" customFormat="1" ht="25" customHeight="1" x14ac:dyDescent="0.2">
      <c r="A206" s="97"/>
      <c r="B206" s="98"/>
      <c r="C206" s="98" t="s">
        <v>1545</v>
      </c>
      <c r="D206" s="98"/>
      <c r="E206" s="98"/>
      <c r="F206" s="98"/>
      <c r="G206" s="125"/>
      <c r="H206" s="515"/>
      <c r="I206" s="125"/>
      <c r="J206" s="98"/>
      <c r="K206" s="98"/>
      <c r="L206" s="125"/>
      <c r="M206" s="98"/>
      <c r="N206" s="98"/>
      <c r="O206" s="53" t="e">
        <f>O50+O106+#REF!</f>
        <v>#REF!</v>
      </c>
      <c r="P206" s="53" t="e">
        <f>P50+P106+#REF!</f>
        <v>#REF!</v>
      </c>
      <c r="Q206" s="53" t="e">
        <f>Q50+Q106+#REF!</f>
        <v>#REF!</v>
      </c>
      <c r="R206" s="98"/>
      <c r="S206" s="125"/>
      <c r="T206" s="125"/>
      <c r="U206" s="98"/>
      <c r="V206" s="53" t="e">
        <f>V50+V106+#REF!</f>
        <v>#REF!</v>
      </c>
      <c r="W206" s="533"/>
      <c r="Y206"/>
      <c r="Z206"/>
      <c r="AD206" s="43" t="s">
        <v>1817</v>
      </c>
      <c r="AE206" s="268" t="s">
        <v>1818</v>
      </c>
      <c r="AF206" s="43" t="s">
        <v>1819</v>
      </c>
      <c r="AG206" s="43" t="s">
        <v>1820</v>
      </c>
      <c r="AH206" s="364">
        <v>41256</v>
      </c>
      <c r="AI206" s="364">
        <v>41256</v>
      </c>
      <c r="AJ206" s="268" t="s">
        <v>1821</v>
      </c>
      <c r="AK206" s="43" t="s">
        <v>1822</v>
      </c>
      <c r="AL206" s="268" t="s">
        <v>1823</v>
      </c>
      <c r="AM206" s="268" t="s">
        <v>1823</v>
      </c>
      <c r="AN206" s="43">
        <v>0.22</v>
      </c>
      <c r="AO206" s="30" t="s">
        <v>1576</v>
      </c>
      <c r="AP206" s="30">
        <v>995</v>
      </c>
      <c r="AQ206" s="30">
        <v>4</v>
      </c>
      <c r="AR206" s="43" t="s">
        <v>1576</v>
      </c>
      <c r="AS206" s="43">
        <v>65</v>
      </c>
      <c r="AT206" s="43">
        <v>25</v>
      </c>
      <c r="AU206" s="43" t="s">
        <v>1576</v>
      </c>
      <c r="AV206" s="43" t="s">
        <v>1576</v>
      </c>
      <c r="AW206" s="43">
        <v>650</v>
      </c>
      <c r="AX206" s="43">
        <v>0</v>
      </c>
      <c r="AY206" s="43">
        <v>0</v>
      </c>
      <c r="AZ206" s="43">
        <v>0</v>
      </c>
      <c r="BA206" s="43">
        <v>0</v>
      </c>
      <c r="BB206" s="43">
        <v>0</v>
      </c>
      <c r="BC206" s="43">
        <v>0</v>
      </c>
      <c r="BD206" s="43">
        <f>SUM(AX206:BC206)</f>
        <v>0</v>
      </c>
      <c r="BE206" s="43">
        <v>0</v>
      </c>
      <c r="BF206" s="43">
        <v>7</v>
      </c>
      <c r="BG206" s="43">
        <v>19</v>
      </c>
      <c r="BH206" s="43">
        <v>10</v>
      </c>
      <c r="BI206" s="43">
        <v>3</v>
      </c>
      <c r="BJ206" s="43">
        <v>5</v>
      </c>
      <c r="BK206" s="43">
        <f>SUM(BE206:BJ206)</f>
        <v>44</v>
      </c>
      <c r="BL206" s="43">
        <v>0</v>
      </c>
      <c r="BM206" s="43">
        <v>5</v>
      </c>
      <c r="BN206" s="43">
        <v>6</v>
      </c>
      <c r="BO206" s="43">
        <v>5</v>
      </c>
      <c r="BP206" s="43">
        <v>0</v>
      </c>
      <c r="BQ206" s="43">
        <v>0</v>
      </c>
      <c r="BR206" s="43">
        <f>SUM(BL206:BQ206)</f>
        <v>16</v>
      </c>
      <c r="BS206" s="30">
        <f>SUM(BD206+BK206+BR206)</f>
        <v>60</v>
      </c>
      <c r="BT206" s="30"/>
      <c r="BU206" s="30"/>
      <c r="BV206" s="30"/>
      <c r="BW206" s="30"/>
      <c r="BX206" s="30"/>
      <c r="BY206" s="30"/>
      <c r="BZ206" s="30"/>
      <c r="CA206" s="30"/>
      <c r="CB206" s="30"/>
      <c r="CC206" s="30"/>
      <c r="CD206" s="30"/>
      <c r="CE206" s="30">
        <v>0</v>
      </c>
      <c r="CF206" s="30">
        <v>98</v>
      </c>
      <c r="CG206" s="43" t="s">
        <v>1576</v>
      </c>
      <c r="CH206" s="43">
        <v>7</v>
      </c>
      <c r="CI206" s="372" t="s">
        <v>1824</v>
      </c>
      <c r="CJ206" s="372">
        <v>0</v>
      </c>
      <c r="CK206" s="43"/>
      <c r="CL206" s="43"/>
      <c r="CM206" s="43"/>
      <c r="CN206" s="425" t="s">
        <v>1825</v>
      </c>
      <c r="CO206" s="43"/>
      <c r="CP206" s="43"/>
    </row>
    <row r="207" spans="1:94" ht="30" customHeight="1" x14ac:dyDescent="0.2">
      <c r="A207" s="90"/>
      <c r="C207" s="84" t="s">
        <v>254</v>
      </c>
      <c r="D207" s="84"/>
      <c r="E207" s="84"/>
      <c r="F207" s="84"/>
      <c r="G207" s="87"/>
      <c r="H207" s="511"/>
      <c r="I207" s="87"/>
      <c r="J207" s="84"/>
      <c r="K207" s="84"/>
      <c r="L207" s="87"/>
      <c r="M207" s="84"/>
      <c r="N207" s="84"/>
      <c r="O207" s="36">
        <f>O205-O203</f>
        <v>35297.5</v>
      </c>
      <c r="P207" s="36">
        <f>P205-P203</f>
        <v>1328</v>
      </c>
      <c r="Q207" s="36">
        <f>Q205-Q203</f>
        <v>70595</v>
      </c>
      <c r="R207" s="35"/>
      <c r="S207" s="87"/>
      <c r="T207" s="62"/>
      <c r="U207" s="35"/>
      <c r="V207" s="36">
        <f>V205-V203</f>
        <v>8752.114999999998</v>
      </c>
      <c r="W207" s="532"/>
      <c r="AD207" s="43" t="s">
        <v>1785</v>
      </c>
      <c r="AE207" s="268" t="s">
        <v>1786</v>
      </c>
      <c r="AF207" s="43" t="s">
        <v>1787</v>
      </c>
      <c r="AG207" s="43" t="s">
        <v>1788</v>
      </c>
      <c r="AH207" s="364">
        <v>42243</v>
      </c>
      <c r="AI207" s="364">
        <v>42243</v>
      </c>
      <c r="AJ207" s="268" t="s">
        <v>1786</v>
      </c>
      <c r="AK207" s="43" t="s">
        <v>1424</v>
      </c>
      <c r="AL207" s="43" t="s">
        <v>1789</v>
      </c>
      <c r="AM207" s="43" t="s">
        <v>1789</v>
      </c>
      <c r="AN207" s="43" t="s">
        <v>1790</v>
      </c>
      <c r="AO207" s="30" t="s">
        <v>1576</v>
      </c>
      <c r="AP207" s="30">
        <v>1155</v>
      </c>
      <c r="AQ207" s="30" t="s">
        <v>1590</v>
      </c>
      <c r="AR207" s="43" t="s">
        <v>1576</v>
      </c>
      <c r="AS207" s="43" t="s">
        <v>1576</v>
      </c>
      <c r="AT207" s="43" t="s">
        <v>1576</v>
      </c>
      <c r="AU207" s="43" t="s">
        <v>1576</v>
      </c>
      <c r="AV207" s="43" t="s">
        <v>1576</v>
      </c>
      <c r="AW207" s="43">
        <v>999</v>
      </c>
      <c r="AX207" s="43">
        <v>0</v>
      </c>
      <c r="AY207" s="43">
        <v>82</v>
      </c>
      <c r="AZ207" s="43">
        <v>78</v>
      </c>
      <c r="BA207" s="43">
        <v>27</v>
      </c>
      <c r="BB207" s="43">
        <v>0</v>
      </c>
      <c r="BC207" s="43">
        <v>0</v>
      </c>
      <c r="BD207" s="43">
        <f>SUM(AX207:BC207)</f>
        <v>187</v>
      </c>
      <c r="BE207" s="43">
        <v>0</v>
      </c>
      <c r="BF207" s="43">
        <v>10</v>
      </c>
      <c r="BG207" s="43">
        <v>20</v>
      </c>
      <c r="BH207" s="43">
        <v>20</v>
      </c>
      <c r="BI207" s="43">
        <v>5</v>
      </c>
      <c r="BJ207" s="43">
        <v>0</v>
      </c>
      <c r="BK207" s="43">
        <f t="shared" ref="BK207" si="97">SUM(BE207:BJ207)</f>
        <v>55</v>
      </c>
      <c r="BL207" s="43">
        <v>0</v>
      </c>
      <c r="BM207" s="43">
        <v>14</v>
      </c>
      <c r="BN207" s="43">
        <v>9</v>
      </c>
      <c r="BO207" s="43">
        <v>7</v>
      </c>
      <c r="BP207" s="43">
        <v>0</v>
      </c>
      <c r="BQ207" s="43">
        <v>0</v>
      </c>
      <c r="BR207" s="43">
        <f t="shared" ref="BR207" si="98">SUM(BL207:BQ207)</f>
        <v>30</v>
      </c>
      <c r="BS207" s="30">
        <f>SUM(BD207+BK207+BR207)</f>
        <v>272</v>
      </c>
      <c r="CE207" s="30">
        <v>20</v>
      </c>
      <c r="CF207" s="30">
        <v>448</v>
      </c>
      <c r="CG207" s="43" t="s">
        <v>1576</v>
      </c>
      <c r="CH207" s="43">
        <v>13</v>
      </c>
      <c r="CI207" s="372" t="s">
        <v>1791</v>
      </c>
      <c r="CJ207" s="372" t="s">
        <v>1792</v>
      </c>
      <c r="CN207" s="425" t="s">
        <v>1793</v>
      </c>
    </row>
    <row r="208" spans="1:94" x14ac:dyDescent="0.2">
      <c r="A208" s="90"/>
      <c r="C208" s="84" t="s">
        <v>255</v>
      </c>
      <c r="D208" s="84"/>
      <c r="E208" s="84"/>
      <c r="F208" s="84"/>
      <c r="G208" s="87"/>
      <c r="H208" s="511"/>
      <c r="I208" s="87"/>
      <c r="J208" s="84"/>
      <c r="K208" s="84"/>
      <c r="L208" s="87"/>
      <c r="M208" s="84"/>
      <c r="N208" s="84"/>
      <c r="O208" s="123">
        <f>O205/O203-1</f>
        <v>1.6753286819497841</v>
      </c>
      <c r="P208" s="123">
        <f>P205/P203-1</f>
        <v>1.1379605826906598</v>
      </c>
      <c r="Q208" s="123">
        <f>Q205/Q203-1</f>
        <v>1.495403321470937</v>
      </c>
      <c r="R208" s="35"/>
      <c r="S208" s="87"/>
      <c r="T208" s="62"/>
      <c r="U208" s="35"/>
      <c r="V208" s="123">
        <f>V205/V203-1</f>
        <v>1.0525694527961513</v>
      </c>
      <c r="W208" s="532"/>
      <c r="AB208" s="154" t="s">
        <v>24</v>
      </c>
      <c r="AC208" s="154" t="s">
        <v>200</v>
      </c>
    </row>
    <row r="209" spans="1:92" ht="6" customHeight="1" x14ac:dyDescent="0.2">
      <c r="A209" s="90"/>
      <c r="B209" s="84"/>
      <c r="C209" s="84"/>
      <c r="D209" s="84"/>
      <c r="E209" s="84"/>
      <c r="F209" s="84"/>
      <c r="G209" s="87"/>
      <c r="H209" s="511"/>
      <c r="I209" s="87"/>
      <c r="J209" s="84"/>
      <c r="K209" s="84"/>
      <c r="L209" s="87"/>
      <c r="M209" s="84"/>
      <c r="N209" s="84"/>
      <c r="O209" s="36"/>
      <c r="P209" s="36"/>
      <c r="Q209" s="36"/>
      <c r="R209" s="35"/>
      <c r="S209" s="87"/>
      <c r="T209" s="62"/>
      <c r="U209" s="35"/>
      <c r="V209" s="36"/>
      <c r="W209" s="532"/>
    </row>
    <row r="210" spans="1:92" x14ac:dyDescent="0.2">
      <c r="A210" s="90"/>
      <c r="B210" s="98" t="s">
        <v>1547</v>
      </c>
      <c r="C210" s="84"/>
      <c r="D210" s="84"/>
      <c r="E210" s="84"/>
      <c r="F210" s="84"/>
      <c r="G210" s="87"/>
      <c r="H210" s="511"/>
      <c r="I210" s="87"/>
      <c r="J210" s="84"/>
      <c r="K210" s="84"/>
      <c r="L210" s="87"/>
      <c r="M210" s="84"/>
      <c r="N210" s="84"/>
      <c r="O210" s="53">
        <f t="shared" ref="O210:T210" si="99">O116+O140+O62+O157</f>
        <v>74327.5</v>
      </c>
      <c r="P210" s="53">
        <f t="shared" si="99"/>
        <v>2495</v>
      </c>
      <c r="Q210" s="53">
        <f t="shared" si="99"/>
        <v>154802</v>
      </c>
      <c r="R210" s="53">
        <f t="shared" si="99"/>
        <v>2.845398773006135</v>
      </c>
      <c r="S210" s="53" t="e">
        <f t="shared" si="99"/>
        <v>#REF!</v>
      </c>
      <c r="T210" s="53" t="e">
        <f t="shared" si="99"/>
        <v>#REF!</v>
      </c>
      <c r="U210" s="53"/>
      <c r="V210" s="53">
        <f>V116+V140+V62+V157</f>
        <v>22491.294999999998</v>
      </c>
      <c r="W210" s="532"/>
      <c r="AA210" s="65" t="s">
        <v>380</v>
      </c>
      <c r="AB210" s="60">
        <f>Q10</f>
        <v>12500</v>
      </c>
      <c r="AC210" s="60">
        <f>Q68</f>
        <v>13531</v>
      </c>
    </row>
    <row r="211" spans="1:92" x14ac:dyDescent="0.2">
      <c r="A211" s="90"/>
      <c r="C211" s="84" t="s">
        <v>254</v>
      </c>
      <c r="D211" s="84"/>
      <c r="E211" s="84"/>
      <c r="F211" s="84"/>
      <c r="G211" s="87"/>
      <c r="H211" s="511"/>
      <c r="I211" s="87"/>
      <c r="J211" s="84"/>
      <c r="K211" s="84"/>
      <c r="L211" s="87"/>
      <c r="M211" s="84"/>
      <c r="N211" s="84"/>
      <c r="O211" s="36">
        <f>O210-O203</f>
        <v>53258.5</v>
      </c>
      <c r="P211" s="36">
        <f>P210-P203</f>
        <v>1328</v>
      </c>
      <c r="Q211" s="36">
        <f>Q210-Q203</f>
        <v>107594</v>
      </c>
      <c r="R211" s="35"/>
      <c r="S211" s="87"/>
      <c r="T211" s="62"/>
      <c r="U211" s="35"/>
      <c r="V211" s="36">
        <f>V210-V203</f>
        <v>14176.294999999998</v>
      </c>
      <c r="W211" s="532"/>
      <c r="AA211" s="152" t="s">
        <v>379</v>
      </c>
      <c r="AB211" s="60">
        <f>Q16+Q17</f>
        <v>712</v>
      </c>
      <c r="AC211">
        <v>0</v>
      </c>
    </row>
    <row r="212" spans="1:92" x14ac:dyDescent="0.2">
      <c r="A212" s="90"/>
      <c r="C212" s="84" t="s">
        <v>255</v>
      </c>
      <c r="D212" s="84"/>
      <c r="E212" s="84"/>
      <c r="F212" s="84"/>
      <c r="G212" s="87"/>
      <c r="H212" s="511"/>
      <c r="I212" s="87"/>
      <c r="J212" s="84"/>
      <c r="K212" s="84"/>
      <c r="L212" s="87"/>
      <c r="M212" s="84"/>
      <c r="N212" s="84"/>
      <c r="O212" s="123">
        <f>O210/O203-1</f>
        <v>2.5278133751008589</v>
      </c>
      <c r="P212" s="123">
        <f>P210/P203-1</f>
        <v>1.1379605826906598</v>
      </c>
      <c r="Q212" s="123">
        <f>Q210/Q203-1</f>
        <v>2.2791476021013386</v>
      </c>
      <c r="R212" s="35"/>
      <c r="S212" s="87"/>
      <c r="T212" s="62"/>
      <c r="U212" s="35"/>
      <c r="V212" s="123">
        <f>V210/V203-1</f>
        <v>1.7049061936259768</v>
      </c>
      <c r="W212" s="532"/>
      <c r="AA212" s="65" t="s">
        <v>1383</v>
      </c>
      <c r="AB212" s="60">
        <f>Q50</f>
        <v>32371</v>
      </c>
      <c r="AC212" s="60">
        <f>Q106</f>
        <v>32958</v>
      </c>
    </row>
    <row r="213" spans="1:92" ht="11" customHeight="1" x14ac:dyDescent="0.2">
      <c r="A213" s="90"/>
      <c r="C213" s="84"/>
      <c r="D213" s="84"/>
      <c r="E213" s="84"/>
      <c r="F213" s="84"/>
      <c r="G213" s="87"/>
      <c r="H213" s="511"/>
      <c r="I213" s="87"/>
      <c r="J213" s="84"/>
      <c r="K213" s="84"/>
      <c r="L213" s="87"/>
      <c r="M213" s="84"/>
      <c r="N213" s="84"/>
      <c r="O213" s="123"/>
      <c r="P213" s="123"/>
      <c r="Q213" s="123"/>
      <c r="R213" s="35"/>
      <c r="S213" s="87"/>
      <c r="T213" s="62"/>
      <c r="U213" s="35"/>
      <c r="V213" s="124"/>
      <c r="W213" s="532"/>
      <c r="AA213" s="65" t="s">
        <v>447</v>
      </c>
      <c r="AB213" s="60" t="e">
        <f>#REF!-Q50</f>
        <v>#REF!</v>
      </c>
      <c r="AC213" s="60">
        <f>Q99-Q106</f>
        <v>-18490</v>
      </c>
      <c r="AD213" s="268" t="s">
        <v>1828</v>
      </c>
      <c r="AE213" s="268" t="s">
        <v>1829</v>
      </c>
      <c r="AF213" s="43" t="s">
        <v>1571</v>
      </c>
      <c r="AG213" s="43" t="s">
        <v>1830</v>
      </c>
      <c r="AH213" s="364">
        <v>40680</v>
      </c>
      <c r="AI213" s="364">
        <v>41711</v>
      </c>
      <c r="AJ213" s="268" t="s">
        <v>1831</v>
      </c>
      <c r="AK213" s="268" t="s">
        <v>1832</v>
      </c>
      <c r="AL213" s="268" t="s">
        <v>1833</v>
      </c>
      <c r="AM213" s="268" t="s">
        <v>1833</v>
      </c>
      <c r="AN213" s="43" t="s">
        <v>1576</v>
      </c>
      <c r="AO213" s="30" t="s">
        <v>1576</v>
      </c>
      <c r="AP213" s="30" t="s">
        <v>1576</v>
      </c>
      <c r="AQ213" s="43" t="s">
        <v>1834</v>
      </c>
      <c r="AR213" s="43">
        <v>67</v>
      </c>
      <c r="AS213" s="43">
        <v>55</v>
      </c>
      <c r="AT213" s="43">
        <v>17</v>
      </c>
      <c r="AU213" s="43">
        <v>24</v>
      </c>
      <c r="AV213" s="43">
        <v>14</v>
      </c>
      <c r="AW213" s="43">
        <v>550</v>
      </c>
      <c r="BD213" s="43">
        <v>104</v>
      </c>
      <c r="BE213" s="43">
        <v>0</v>
      </c>
      <c r="BF213" s="43">
        <v>5</v>
      </c>
      <c r="BG213" s="43">
        <v>5</v>
      </c>
      <c r="BH213" s="43">
        <v>30</v>
      </c>
      <c r="BI213" s="43">
        <v>2</v>
      </c>
      <c r="BJ213" s="43">
        <v>0</v>
      </c>
      <c r="BK213" s="43">
        <f>SUM(BE213:BJ213)</f>
        <v>42</v>
      </c>
      <c r="BR213" s="43">
        <v>18</v>
      </c>
      <c r="BS213" s="30">
        <f>SUM(BD213,BK213,BR213)</f>
        <v>164</v>
      </c>
      <c r="CE213" s="30" t="s">
        <v>1576</v>
      </c>
      <c r="CF213" s="30">
        <v>96</v>
      </c>
      <c r="CG213" s="43" t="s">
        <v>1576</v>
      </c>
      <c r="CH213" s="43">
        <v>11</v>
      </c>
      <c r="CI213" s="372" t="s">
        <v>1835</v>
      </c>
      <c r="CJ213" s="372" t="s">
        <v>1576</v>
      </c>
      <c r="CN213" s="425" t="s">
        <v>1621</v>
      </c>
    </row>
    <row r="214" spans="1:92" ht="20" customHeight="1" x14ac:dyDescent="0.2">
      <c r="A214" s="90"/>
      <c r="B214" s="180" t="s">
        <v>497</v>
      </c>
      <c r="C214" s="84"/>
      <c r="D214" s="84"/>
      <c r="E214" s="84"/>
      <c r="F214" s="84"/>
      <c r="G214" s="87"/>
      <c r="H214" s="511"/>
      <c r="I214" s="87"/>
      <c r="J214" s="84"/>
      <c r="K214" s="84"/>
      <c r="L214" s="87"/>
      <c r="M214" s="84"/>
      <c r="N214" s="84"/>
      <c r="O214" s="181">
        <f>Q214/2</f>
        <v>1466</v>
      </c>
      <c r="P214" s="181">
        <f>Hotel!G6+Hotel!G7</f>
        <v>724</v>
      </c>
      <c r="Q214" s="179">
        <v>2932</v>
      </c>
      <c r="R214" s="35"/>
      <c r="S214" s="87"/>
      <c r="T214" s="62"/>
      <c r="U214" s="35"/>
      <c r="V214" s="124"/>
      <c r="W214" s="532"/>
      <c r="AA214" s="65" t="s">
        <v>377</v>
      </c>
      <c r="AB214" s="60">
        <f>Q61</f>
        <v>7600</v>
      </c>
      <c r="AC214" s="60">
        <f>Q115</f>
        <v>47889</v>
      </c>
      <c r="AD214" s="43" t="s">
        <v>1837</v>
      </c>
      <c r="AE214" s="268" t="s">
        <v>1838</v>
      </c>
      <c r="AF214" s="43" t="s">
        <v>1426</v>
      </c>
      <c r="AG214" s="43" t="s">
        <v>1839</v>
      </c>
      <c r="AH214" s="364">
        <v>40346</v>
      </c>
      <c r="AI214" s="364">
        <v>40983</v>
      </c>
      <c r="AJ214" s="268" t="s">
        <v>1840</v>
      </c>
      <c r="AK214" s="268" t="s">
        <v>1841</v>
      </c>
      <c r="AL214" s="268" t="s">
        <v>1842</v>
      </c>
      <c r="AM214" s="268" t="s">
        <v>1843</v>
      </c>
      <c r="AN214" s="43">
        <v>1.77</v>
      </c>
      <c r="AO214" s="30" t="s">
        <v>1576</v>
      </c>
      <c r="AP214" s="30">
        <v>728</v>
      </c>
      <c r="AQ214" s="43" t="s">
        <v>1590</v>
      </c>
      <c r="AR214" s="43" t="s">
        <v>1576</v>
      </c>
      <c r="AS214" s="43" t="s">
        <v>1576</v>
      </c>
      <c r="AT214" s="43" t="s">
        <v>1576</v>
      </c>
      <c r="AU214" s="43" t="s">
        <v>1576</v>
      </c>
      <c r="AV214" s="43" t="s">
        <v>1576</v>
      </c>
      <c r="AW214" s="43">
        <v>411</v>
      </c>
      <c r="AX214" s="43">
        <v>22</v>
      </c>
      <c r="AY214" s="43">
        <v>117</v>
      </c>
      <c r="AZ214" s="43">
        <v>167</v>
      </c>
      <c r="BA214" s="43">
        <v>46</v>
      </c>
      <c r="BB214" s="43">
        <v>0</v>
      </c>
      <c r="BC214" s="43">
        <v>0</v>
      </c>
      <c r="BD214" s="43">
        <f>SUM(AX214:BC214)</f>
        <v>352</v>
      </c>
      <c r="BE214" s="43">
        <v>0</v>
      </c>
      <c r="BF214" s="43">
        <v>19</v>
      </c>
      <c r="BG214" s="43">
        <v>33</v>
      </c>
      <c r="BH214" s="43">
        <v>27</v>
      </c>
      <c r="BI214" s="43">
        <v>15</v>
      </c>
      <c r="BJ214" s="43">
        <v>0</v>
      </c>
      <c r="BK214" s="43">
        <f>SUM(BE214:BJ214)</f>
        <v>94</v>
      </c>
      <c r="BL214" s="43">
        <v>0</v>
      </c>
      <c r="BM214" s="43">
        <v>26</v>
      </c>
      <c r="BN214" s="43">
        <v>20</v>
      </c>
      <c r="BO214" s="43">
        <v>10</v>
      </c>
      <c r="BP214" s="43">
        <v>0</v>
      </c>
      <c r="BQ214" s="43">
        <v>0</v>
      </c>
      <c r="BR214" s="43">
        <f>SUM(BL214:BQ214)</f>
        <v>56</v>
      </c>
      <c r="BS214" s="30">
        <f>SUM(BD214,BK214,BR214)</f>
        <v>502</v>
      </c>
      <c r="CE214" s="30">
        <v>169</v>
      </c>
      <c r="CF214" s="30">
        <v>711</v>
      </c>
      <c r="CG214" s="43" t="s">
        <v>1576</v>
      </c>
      <c r="CH214" s="43">
        <v>10</v>
      </c>
      <c r="CI214" s="372" t="s">
        <v>1844</v>
      </c>
      <c r="CJ214" s="372" t="s">
        <v>1845</v>
      </c>
      <c r="CN214" s="425" t="s">
        <v>1846</v>
      </c>
    </row>
    <row r="215" spans="1:92" ht="23" customHeight="1" x14ac:dyDescent="0.2">
      <c r="A215" s="90"/>
      <c r="B215" s="175" t="s">
        <v>496</v>
      </c>
      <c r="C215" s="84"/>
      <c r="D215" s="84"/>
      <c r="E215" s="84"/>
      <c r="F215" s="84"/>
      <c r="G215" s="87"/>
      <c r="H215" s="511"/>
      <c r="I215" s="87"/>
      <c r="J215" s="84"/>
      <c r="K215" s="84"/>
      <c r="L215" s="87"/>
      <c r="M215" s="84"/>
      <c r="N215" s="84"/>
      <c r="O215" s="179">
        <f>O214+SUM(O23,O24,O26:O28,O30,O32:O33,O34:O36,O38,O89,O93,O39,O88)</f>
        <v>11211</v>
      </c>
      <c r="P215" s="179">
        <f>P214+SUM(P23,P24,P26:P28,P30,P32:P33,P34:P36,P38,P89,P93,P39,P88)</f>
        <v>724</v>
      </c>
      <c r="Q215" s="179">
        <f>Q214+SUM(Q23,Q24,Q26:Q28,Q30,Q32:Q33,Q34:Q36,Q38,Q89,Q93,Q39,Q88)</f>
        <v>22422</v>
      </c>
      <c r="R215" s="35"/>
      <c r="S215" s="87"/>
      <c r="T215" s="62"/>
      <c r="U215" s="35"/>
      <c r="V215" s="124"/>
      <c r="W215" s="532"/>
      <c r="AA215" s="65"/>
      <c r="AB215" s="60"/>
      <c r="AC215" s="60"/>
      <c r="AD215" s="43" t="s">
        <v>1848</v>
      </c>
      <c r="AE215" s="268" t="s">
        <v>1849</v>
      </c>
      <c r="AF215" s="43" t="s">
        <v>1714</v>
      </c>
      <c r="AG215" s="43" t="s">
        <v>1839</v>
      </c>
      <c r="AH215" s="364" t="s">
        <v>1850</v>
      </c>
      <c r="AI215" s="364">
        <v>41179</v>
      </c>
      <c r="AJ215" s="268" t="s">
        <v>1849</v>
      </c>
      <c r="AK215" s="268" t="s">
        <v>1424</v>
      </c>
      <c r="AL215" s="268" t="s">
        <v>1851</v>
      </c>
      <c r="AM215" s="268" t="s">
        <v>1851</v>
      </c>
      <c r="AN215" s="43" t="s">
        <v>1576</v>
      </c>
      <c r="AO215" s="30">
        <v>0</v>
      </c>
      <c r="AP215" s="30">
        <v>0</v>
      </c>
      <c r="AQ215" s="43" t="s">
        <v>1355</v>
      </c>
      <c r="AR215" s="43">
        <v>0</v>
      </c>
      <c r="AS215" s="43">
        <v>0</v>
      </c>
      <c r="AT215" s="43">
        <v>0</v>
      </c>
      <c r="AU215" s="43">
        <v>0</v>
      </c>
      <c r="AV215" s="43">
        <v>0</v>
      </c>
      <c r="AW215" s="43">
        <v>0</v>
      </c>
      <c r="AX215" s="43">
        <v>0</v>
      </c>
      <c r="AY215" s="43">
        <v>0</v>
      </c>
      <c r="AZ215" s="43">
        <v>0</v>
      </c>
      <c r="BA215" s="43">
        <v>0</v>
      </c>
      <c r="BB215" s="43">
        <v>0</v>
      </c>
      <c r="BC215" s="43">
        <v>0</v>
      </c>
      <c r="BD215" s="43">
        <f>SUM(AX215:BC215)</f>
        <v>0</v>
      </c>
      <c r="BE215" s="43">
        <v>0</v>
      </c>
      <c r="BF215" s="43">
        <v>0</v>
      </c>
      <c r="BG215" s="43">
        <v>0</v>
      </c>
      <c r="BH215" s="43">
        <v>0</v>
      </c>
      <c r="BI215" s="43">
        <v>0</v>
      </c>
      <c r="BJ215" s="43">
        <v>0</v>
      </c>
      <c r="BK215" s="43">
        <f>SUM(BE215:BJ215)</f>
        <v>0</v>
      </c>
      <c r="BL215" s="43">
        <v>0</v>
      </c>
      <c r="BM215" s="43">
        <v>0</v>
      </c>
      <c r="BN215" s="43">
        <v>0</v>
      </c>
      <c r="BO215" s="43">
        <v>0</v>
      </c>
      <c r="BP215" s="43">
        <v>0</v>
      </c>
      <c r="BQ215" s="43">
        <v>0</v>
      </c>
      <c r="BR215" s="43">
        <f>SUM(BL215:BQ215)</f>
        <v>0</v>
      </c>
      <c r="BS215" s="30">
        <f>SUM(BD215,BK215,BR215)</f>
        <v>0</v>
      </c>
      <c r="BT215" s="30">
        <v>252</v>
      </c>
      <c r="CE215" s="30">
        <v>0</v>
      </c>
      <c r="CG215" s="43" t="s">
        <v>1576</v>
      </c>
      <c r="CH215" s="43">
        <v>16</v>
      </c>
      <c r="CI215" s="372" t="s">
        <v>1852</v>
      </c>
      <c r="CJ215" s="372" t="s">
        <v>1853</v>
      </c>
      <c r="CN215" s="425" t="s">
        <v>1692</v>
      </c>
    </row>
    <row r="216" spans="1:92" x14ac:dyDescent="0.2">
      <c r="A216" s="90"/>
      <c r="B216" s="175" t="s">
        <v>495</v>
      </c>
      <c r="C216" s="84"/>
      <c r="D216" s="84"/>
      <c r="E216" s="84"/>
      <c r="F216" s="84"/>
      <c r="G216" s="87"/>
      <c r="H216" s="511"/>
      <c r="I216" s="87"/>
      <c r="J216" s="84"/>
      <c r="K216" s="84"/>
      <c r="L216" s="87"/>
      <c r="M216" s="84"/>
      <c r="N216" s="84"/>
      <c r="O216" s="179">
        <f>O215+SUM(O96:O113,O59,O22)</f>
        <v>70454</v>
      </c>
      <c r="P216" s="179">
        <f>P215+SUM(P96:P113,P59,P22)</f>
        <v>1624</v>
      </c>
      <c r="Q216" s="179">
        <f>Q215+SUM(Q96:Q113,Q59,Q22)</f>
        <v>141985</v>
      </c>
      <c r="R216" s="35"/>
      <c r="S216" s="87"/>
      <c r="T216" s="62"/>
      <c r="U216" s="35"/>
      <c r="V216" s="124"/>
      <c r="W216" s="532"/>
      <c r="AA216" s="65"/>
      <c r="AB216" s="60"/>
      <c r="AC216" s="60"/>
    </row>
    <row r="217" spans="1:92" x14ac:dyDescent="0.2">
      <c r="A217" s="91"/>
      <c r="B217" s="92"/>
      <c r="C217" s="92"/>
      <c r="D217" s="92"/>
      <c r="E217" s="92"/>
      <c r="F217" s="92"/>
      <c r="G217" s="93"/>
      <c r="H217" s="516"/>
      <c r="I217" s="93"/>
      <c r="J217" s="92"/>
      <c r="K217" s="92"/>
      <c r="L217" s="93"/>
      <c r="M217" s="92"/>
      <c r="N217" s="92"/>
      <c r="O217" s="96">
        <f>O216-O214</f>
        <v>68988</v>
      </c>
      <c r="P217" s="96">
        <f t="shared" ref="P217:Q217" si="100">P216-P214</f>
        <v>900</v>
      </c>
      <c r="Q217" s="96">
        <f t="shared" si="100"/>
        <v>139053</v>
      </c>
      <c r="R217" s="92"/>
      <c r="S217" s="93"/>
      <c r="T217" s="93"/>
      <c r="U217" s="92"/>
      <c r="V217" s="94"/>
      <c r="W217" s="534"/>
    </row>
    <row r="218" spans="1:92" x14ac:dyDescent="0.2">
      <c r="A218" s="84"/>
      <c r="B218" s="84"/>
      <c r="C218" s="84"/>
      <c r="D218" s="84"/>
      <c r="E218" s="84"/>
      <c r="F218" s="84"/>
      <c r="G218" s="87"/>
      <c r="H218" s="511"/>
      <c r="I218" s="87"/>
      <c r="J218" s="84"/>
      <c r="K218" s="84"/>
      <c r="L218" s="87"/>
      <c r="M218" s="244"/>
      <c r="N218" s="84"/>
      <c r="O218" s="87"/>
      <c r="P218" s="87"/>
      <c r="Q218" s="87"/>
      <c r="R218" s="84"/>
      <c r="S218" s="87"/>
      <c r="T218" s="87"/>
      <c r="U218" s="84"/>
      <c r="V218" s="88"/>
      <c r="W218" s="244"/>
      <c r="AA218" s="65"/>
      <c r="AB218" s="60"/>
      <c r="AC218" s="60"/>
    </row>
    <row r="219" spans="1:92" x14ac:dyDescent="0.2">
      <c r="V219" s="60"/>
    </row>
    <row r="220" spans="1:92" ht="19" x14ac:dyDescent="0.25">
      <c r="A220" s="79" t="s">
        <v>1540</v>
      </c>
      <c r="B220" s="80"/>
      <c r="C220" s="80"/>
      <c r="D220" s="80"/>
      <c r="E220" s="80"/>
      <c r="F220" s="80"/>
      <c r="G220" s="81"/>
      <c r="H220" s="514"/>
      <c r="I220" s="81"/>
      <c r="J220" s="80"/>
      <c r="K220" s="80"/>
      <c r="L220" s="81"/>
      <c r="M220" s="80"/>
      <c r="N220" s="80"/>
      <c r="O220" s="81"/>
      <c r="P220" s="81"/>
      <c r="Q220" s="81"/>
      <c r="R220" s="80"/>
      <c r="S220" s="81"/>
      <c r="T220" s="81"/>
      <c r="U220" s="80"/>
      <c r="V220" s="82"/>
      <c r="W220" s="531"/>
    </row>
    <row r="221" spans="1:92" ht="19" x14ac:dyDescent="0.25">
      <c r="A221" s="105"/>
      <c r="B221" s="84"/>
      <c r="C221" s="84"/>
      <c r="D221" s="84"/>
      <c r="E221" s="84"/>
      <c r="F221" s="84"/>
      <c r="G221" s="87"/>
      <c r="H221" s="511"/>
      <c r="I221" s="87"/>
      <c r="J221" s="84"/>
      <c r="K221" s="84"/>
      <c r="L221" s="87"/>
      <c r="M221" s="118"/>
      <c r="N221" s="271"/>
      <c r="O221" s="117" t="s">
        <v>278</v>
      </c>
      <c r="P221" s="117"/>
      <c r="Q221" s="109"/>
      <c r="R221" s="110"/>
      <c r="S221" s="108"/>
      <c r="T221" s="113" t="s">
        <v>279</v>
      </c>
      <c r="U221" s="80"/>
      <c r="V221" s="82"/>
      <c r="W221" s="531"/>
    </row>
    <row r="222" spans="1:92" ht="96" x14ac:dyDescent="0.2">
      <c r="A222" s="90"/>
      <c r="B222" s="84"/>
      <c r="C222" s="84"/>
      <c r="D222" s="84"/>
      <c r="E222" s="84"/>
      <c r="F222" s="84"/>
      <c r="G222" s="87"/>
      <c r="H222" s="511"/>
      <c r="I222" s="87"/>
      <c r="J222" s="84"/>
      <c r="K222" s="84"/>
      <c r="L222" s="87"/>
      <c r="M222" s="103" t="s">
        <v>270</v>
      </c>
      <c r="N222" s="100"/>
      <c r="O222" s="100" t="s">
        <v>281</v>
      </c>
      <c r="P222" s="100"/>
      <c r="Q222" s="100" t="s">
        <v>275</v>
      </c>
      <c r="R222" s="103" t="s">
        <v>280</v>
      </c>
      <c r="T222" s="111" t="s">
        <v>282</v>
      </c>
      <c r="U222" s="84"/>
      <c r="V222" s="100" t="s">
        <v>276</v>
      </c>
      <c r="W222" s="535" t="s">
        <v>280</v>
      </c>
    </row>
    <row r="223" spans="1:92" x14ac:dyDescent="0.2">
      <c r="A223" s="90"/>
      <c r="B223" s="84"/>
      <c r="C223" s="84"/>
      <c r="D223" s="84"/>
      <c r="E223" s="84"/>
      <c r="F223" s="84"/>
      <c r="G223" s="87"/>
      <c r="H223" s="511"/>
      <c r="I223" s="87"/>
      <c r="J223" s="84"/>
      <c r="K223" s="84"/>
      <c r="L223" s="87"/>
      <c r="M223" s="89"/>
      <c r="N223" s="84"/>
      <c r="O223" s="87"/>
      <c r="P223" s="87"/>
      <c r="Q223" s="87"/>
      <c r="R223" s="107"/>
      <c r="T223" s="114"/>
      <c r="U223" s="84"/>
      <c r="V223" s="84"/>
      <c r="W223" s="532"/>
    </row>
    <row r="224" spans="1:92" x14ac:dyDescent="0.2">
      <c r="A224" s="90"/>
      <c r="B224" s="84"/>
      <c r="C224" s="101" t="s">
        <v>271</v>
      </c>
      <c r="D224" s="101"/>
      <c r="E224" s="101"/>
      <c r="F224" s="101"/>
      <c r="G224" s="62"/>
      <c r="H224" s="511"/>
      <c r="I224" s="62"/>
      <c r="J224" s="101"/>
      <c r="K224" s="101"/>
      <c r="L224" s="62"/>
      <c r="M224" s="102">
        <f>V203</f>
        <v>8315</v>
      </c>
      <c r="N224" s="88"/>
      <c r="O224" s="95">
        <f>M224/15*7</f>
        <v>3880.3333333333335</v>
      </c>
      <c r="P224" s="95"/>
      <c r="Q224" s="104">
        <f>O224/420</f>
        <v>9.2388888888888889</v>
      </c>
      <c r="R224" s="107">
        <v>8</v>
      </c>
      <c r="T224" s="115">
        <f>M224/15*5</f>
        <v>2771.666666666667</v>
      </c>
      <c r="U224" s="84"/>
      <c r="V224" s="106">
        <f>T224/1200</f>
        <v>2.3097222222222227</v>
      </c>
      <c r="W224" s="536">
        <v>2</v>
      </c>
    </row>
    <row r="225" spans="1:94" x14ac:dyDescent="0.2">
      <c r="A225" s="90"/>
      <c r="B225" s="84"/>
      <c r="C225" s="101"/>
      <c r="D225" s="101"/>
      <c r="E225" s="101"/>
      <c r="F225" s="101"/>
      <c r="G225" s="62"/>
      <c r="H225" s="511"/>
      <c r="I225" s="62"/>
      <c r="J225" s="101"/>
      <c r="K225" s="101"/>
      <c r="L225" s="62"/>
      <c r="M225" s="102"/>
      <c r="N225" s="88"/>
      <c r="O225" s="95"/>
      <c r="P225" s="95"/>
      <c r="Q225" s="95"/>
      <c r="R225" s="107"/>
      <c r="T225" s="115"/>
      <c r="U225" s="84"/>
      <c r="V225" s="95"/>
      <c r="W225" s="536"/>
    </row>
    <row r="226" spans="1:94" x14ac:dyDescent="0.2">
      <c r="A226" s="90"/>
      <c r="B226" s="84"/>
      <c r="C226" s="101" t="s">
        <v>274</v>
      </c>
      <c r="D226" s="101"/>
      <c r="E226" s="101"/>
      <c r="F226" s="101"/>
      <c r="G226" s="62"/>
      <c r="H226" s="511"/>
      <c r="I226" s="62"/>
      <c r="J226" s="101"/>
      <c r="K226" s="101"/>
      <c r="L226" s="62"/>
      <c r="M226" s="102">
        <f>V205</f>
        <v>17067.114999999998</v>
      </c>
      <c r="N226" s="88"/>
      <c r="O226" s="95">
        <f>M226/15*7</f>
        <v>7964.6536666666661</v>
      </c>
      <c r="P226" s="95"/>
      <c r="Q226" s="104">
        <f>O226/420</f>
        <v>18.963461111111108</v>
      </c>
      <c r="R226" s="107">
        <v>9</v>
      </c>
      <c r="T226" s="115">
        <f>M226/15*5</f>
        <v>5689.038333333333</v>
      </c>
      <c r="U226" s="84"/>
      <c r="V226" s="106">
        <f>T226/1200</f>
        <v>4.7408652777777771</v>
      </c>
      <c r="W226" s="536">
        <v>2</v>
      </c>
    </row>
    <row r="227" spans="1:94" x14ac:dyDescent="0.2">
      <c r="A227" s="90"/>
      <c r="B227" s="84"/>
      <c r="C227" s="101"/>
      <c r="D227" s="101"/>
      <c r="E227" s="101"/>
      <c r="F227" s="101"/>
      <c r="G227" s="62"/>
      <c r="H227" s="511"/>
      <c r="I227" s="62"/>
      <c r="J227" s="101"/>
      <c r="K227" s="101"/>
      <c r="L227" s="62"/>
      <c r="M227" s="89"/>
      <c r="N227" s="84"/>
      <c r="O227" s="95"/>
      <c r="P227" s="95"/>
      <c r="Q227" s="95"/>
      <c r="R227" s="107"/>
      <c r="T227" s="115"/>
      <c r="U227" s="84"/>
      <c r="V227" s="95"/>
      <c r="W227" s="536"/>
      <c r="AD227" s="241"/>
      <c r="AE227" s="363"/>
      <c r="AF227" s="241"/>
      <c r="AG227" s="241"/>
      <c r="AH227" s="368"/>
      <c r="AI227" s="368"/>
      <c r="AJ227" s="241"/>
      <c r="AK227" s="241"/>
      <c r="AL227" s="241"/>
      <c r="AM227" s="241"/>
      <c r="AN227" s="241"/>
      <c r="AO227" s="44"/>
      <c r="AP227" s="44"/>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44"/>
      <c r="BT227" s="44"/>
      <c r="BU227" s="44"/>
      <c r="BV227" s="44"/>
      <c r="BW227" s="44"/>
      <c r="BX227" s="44"/>
      <c r="BY227" s="44"/>
      <c r="BZ227" s="44"/>
      <c r="CA227" s="44"/>
      <c r="CB227" s="44"/>
      <c r="CC227" s="44"/>
      <c r="CD227" s="44"/>
      <c r="CE227" s="44"/>
      <c r="CF227" s="44"/>
      <c r="CG227" s="241"/>
      <c r="CH227" s="241"/>
      <c r="CI227" s="376"/>
      <c r="CJ227" s="376"/>
      <c r="CK227" s="241"/>
      <c r="CL227" s="241"/>
      <c r="CM227" s="241"/>
      <c r="CN227" s="241"/>
      <c r="CO227" s="241"/>
      <c r="CP227" s="241"/>
    </row>
    <row r="228" spans="1:94" x14ac:dyDescent="0.2">
      <c r="A228" s="90"/>
      <c r="B228" s="84"/>
      <c r="C228" s="101" t="s">
        <v>273</v>
      </c>
      <c r="D228" s="101"/>
      <c r="E228" s="101"/>
      <c r="F228" s="101"/>
      <c r="G228" s="62"/>
      <c r="H228" s="511"/>
      <c r="I228" s="62"/>
      <c r="J228" s="101"/>
      <c r="K228" s="101"/>
      <c r="L228" s="62"/>
      <c r="M228" s="102">
        <f>V210</f>
        <v>22491.294999999998</v>
      </c>
      <c r="N228" s="88"/>
      <c r="O228" s="95">
        <f>M228/15*7</f>
        <v>10495.937666666665</v>
      </c>
      <c r="P228" s="95"/>
      <c r="Q228" s="104">
        <f>O228/420</f>
        <v>24.990327777777775</v>
      </c>
      <c r="R228" s="107">
        <v>9</v>
      </c>
      <c r="T228" s="115">
        <f>M228/15*5</f>
        <v>7497.0983333333324</v>
      </c>
      <c r="U228" s="84"/>
      <c r="V228" s="106">
        <f>T228/1200</f>
        <v>6.2475819444444438</v>
      </c>
      <c r="W228" s="536">
        <v>2</v>
      </c>
      <c r="AD228" s="241"/>
      <c r="AE228" s="363"/>
      <c r="AF228" s="241"/>
      <c r="AG228" s="241"/>
      <c r="AH228" s="368"/>
      <c r="AI228" s="368"/>
      <c r="AJ228" s="241"/>
      <c r="AK228" s="241"/>
      <c r="AL228" s="241"/>
      <c r="AM228" s="241"/>
      <c r="AN228" s="241"/>
      <c r="AO228" s="44"/>
      <c r="AP228" s="44"/>
      <c r="AQ228" s="241"/>
      <c r="AR228" s="241"/>
      <c r="AS228" s="241"/>
      <c r="AT228" s="241"/>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44"/>
      <c r="BT228" s="44"/>
      <c r="BU228" s="44"/>
      <c r="BV228" s="44"/>
      <c r="BW228" s="44"/>
      <c r="BX228" s="44"/>
      <c r="BY228" s="44"/>
      <c r="BZ228" s="44"/>
      <c r="CA228" s="44"/>
      <c r="CB228" s="44"/>
      <c r="CC228" s="44"/>
      <c r="CD228" s="44"/>
      <c r="CE228" s="44"/>
      <c r="CF228" s="44"/>
      <c r="CG228" s="241"/>
      <c r="CH228" s="241"/>
      <c r="CI228" s="376"/>
      <c r="CJ228" s="376"/>
      <c r="CK228" s="241"/>
      <c r="CL228" s="241"/>
      <c r="CM228" s="241"/>
      <c r="CN228" s="241"/>
      <c r="CO228" s="241"/>
      <c r="CP228" s="241"/>
    </row>
    <row r="229" spans="1:94" x14ac:dyDescent="0.2">
      <c r="A229" s="90"/>
      <c r="B229" s="84"/>
      <c r="C229" s="84"/>
      <c r="D229" s="84"/>
      <c r="E229" s="84"/>
      <c r="F229" s="84"/>
      <c r="G229" s="87"/>
      <c r="H229" s="511"/>
      <c r="I229" s="87"/>
      <c r="J229" s="84"/>
      <c r="K229" s="84"/>
      <c r="L229" s="87"/>
      <c r="M229" s="102"/>
      <c r="N229" s="88"/>
      <c r="O229" s="96"/>
      <c r="P229" s="96"/>
      <c r="Q229" s="96"/>
      <c r="R229" s="112"/>
      <c r="S229" s="95"/>
      <c r="T229" s="116"/>
      <c r="U229" s="94"/>
      <c r="V229" s="94"/>
      <c r="W229" s="534"/>
    </row>
    <row r="230" spans="1:94" x14ac:dyDescent="0.2">
      <c r="A230" s="91"/>
      <c r="B230" s="92"/>
      <c r="C230" s="92" t="s">
        <v>304</v>
      </c>
      <c r="D230" s="92"/>
      <c r="E230" s="92"/>
      <c r="F230" s="92"/>
      <c r="G230" s="93"/>
      <c r="H230" s="516"/>
      <c r="I230" s="93"/>
      <c r="J230" s="92"/>
      <c r="K230" s="92"/>
      <c r="L230" s="93"/>
      <c r="M230" s="92"/>
      <c r="N230" s="92"/>
      <c r="O230" s="93"/>
      <c r="P230" s="93"/>
      <c r="Q230" s="93"/>
      <c r="R230" s="92"/>
      <c r="S230" s="93"/>
      <c r="T230" s="93"/>
      <c r="U230" s="92"/>
      <c r="V230" s="94"/>
      <c r="W230" s="534"/>
      <c r="AD230" s="154" t="s">
        <v>24</v>
      </c>
      <c r="AE230" s="154"/>
      <c r="AF230" s="154" t="s">
        <v>200</v>
      </c>
      <c r="AG230" s="154" t="s">
        <v>199</v>
      </c>
      <c r="AH230" s="369" t="s">
        <v>378</v>
      </c>
    </row>
    <row r="231" spans="1:94" x14ac:dyDescent="0.2">
      <c r="C231" s="195"/>
      <c r="D231" s="249"/>
      <c r="E231" s="249"/>
      <c r="F231" s="249"/>
      <c r="G231" s="249"/>
      <c r="H231" s="502"/>
      <c r="I231" s="249"/>
      <c r="J231" s="249"/>
      <c r="K231" s="249"/>
      <c r="V231" s="60"/>
    </row>
    <row r="232" spans="1:94" x14ac:dyDescent="0.2">
      <c r="C232" s="195"/>
      <c r="D232" s="250"/>
      <c r="E232" s="250"/>
      <c r="F232" s="250"/>
      <c r="G232" s="250"/>
      <c r="H232" s="503"/>
      <c r="I232" s="250"/>
      <c r="J232" s="250"/>
      <c r="K232" s="250"/>
      <c r="L232" s="47"/>
      <c r="M232" s="30">
        <f>M228-M224</f>
        <v>14176.294999999998</v>
      </c>
      <c r="N232" s="43"/>
      <c r="O232" s="30">
        <f>O228-O224</f>
        <v>6615.6043333333309</v>
      </c>
      <c r="Q232"/>
      <c r="R232" s="60"/>
      <c r="S232"/>
      <c r="T232"/>
      <c r="AD232" s="30" t="e">
        <f>#REF!</f>
        <v>#REF!</v>
      </c>
      <c r="AE232" s="269"/>
      <c r="AF232" s="30" t="e">
        <f>#REF!</f>
        <v>#REF!</v>
      </c>
      <c r="AG232" s="30" t="e">
        <f>#REF!</f>
        <v>#REF!</v>
      </c>
      <c r="AH232" s="364" t="e">
        <f>SUM(AD232:AG232)</f>
        <v>#REF!</v>
      </c>
    </row>
    <row r="233" spans="1:94" x14ac:dyDescent="0.2">
      <c r="C233" s="195"/>
      <c r="D233" s="250"/>
      <c r="E233" s="250"/>
      <c r="F233" s="250"/>
      <c r="G233" s="250"/>
      <c r="H233" s="503"/>
      <c r="I233" s="250"/>
      <c r="J233" s="250"/>
      <c r="K233" s="250"/>
      <c r="N233" s="43"/>
      <c r="Q233"/>
      <c r="R233" s="60"/>
      <c r="S233"/>
      <c r="T233"/>
      <c r="AD233" s="30" t="e">
        <f>#REF!+#REF!</f>
        <v>#REF!</v>
      </c>
      <c r="AE233" s="269"/>
      <c r="AF233" s="43">
        <v>0</v>
      </c>
      <c r="AG233" s="43">
        <v>0</v>
      </c>
      <c r="AH233" s="364" t="e">
        <f>SUM(AD233:AG233)</f>
        <v>#REF!</v>
      </c>
    </row>
    <row r="234" spans="1:94" x14ac:dyDescent="0.2">
      <c r="C234" s="251"/>
      <c r="D234" s="252"/>
      <c r="E234" s="252"/>
      <c r="G234" s="252"/>
      <c r="H234" s="504"/>
      <c r="I234" s="252"/>
      <c r="J234" s="252"/>
      <c r="K234" s="252"/>
      <c r="N234" s="43"/>
      <c r="Q234"/>
      <c r="R234" s="60"/>
      <c r="S234"/>
      <c r="T234"/>
      <c r="AD234" s="30" t="e">
        <f>#REF!</f>
        <v>#REF!</v>
      </c>
      <c r="AE234" s="269"/>
      <c r="AF234" s="30" t="e">
        <f>#REF!</f>
        <v>#REF!</v>
      </c>
      <c r="AG234" s="30" t="e">
        <f>#REF!</f>
        <v>#REF!</v>
      </c>
      <c r="AH234" s="364" t="e">
        <f>SUM(AD234:AG234)</f>
        <v>#REF!</v>
      </c>
    </row>
    <row r="235" spans="1:94" x14ac:dyDescent="0.2">
      <c r="C235" s="253"/>
      <c r="D235" s="252"/>
      <c r="E235" s="252"/>
      <c r="G235" s="252"/>
      <c r="H235" s="504"/>
      <c r="I235" s="252"/>
      <c r="J235" s="252"/>
      <c r="K235" s="252"/>
      <c r="N235" s="43" t="s">
        <v>1121</v>
      </c>
      <c r="O235" s="30">
        <f>SUM(O24,O26,O28,O31,O33+O40)</f>
        <v>5807</v>
      </c>
      <c r="Q235"/>
      <c r="R235" s="60"/>
      <c r="S235"/>
      <c r="T235"/>
      <c r="AD235" s="30" t="e">
        <f>#REF!-#REF!</f>
        <v>#REF!</v>
      </c>
      <c r="AE235" s="269"/>
      <c r="AF235" s="30" t="e">
        <f>#REF!-#REF!</f>
        <v>#REF!</v>
      </c>
      <c r="AG235" s="30" t="e">
        <f>#REF!-#REF!</f>
        <v>#REF!</v>
      </c>
      <c r="AH235" s="364" t="e">
        <f>SUM(AD235:AG235)</f>
        <v>#REF!</v>
      </c>
    </row>
    <row r="236" spans="1:94" x14ac:dyDescent="0.2">
      <c r="C236" s="195"/>
      <c r="D236" s="250"/>
      <c r="E236" s="250"/>
      <c r="G236" s="250"/>
      <c r="H236" s="503"/>
      <c r="I236" s="250"/>
      <c r="J236" s="250"/>
      <c r="K236" s="250"/>
      <c r="N236" s="43" t="s">
        <v>1549</v>
      </c>
      <c r="O236" s="30">
        <f>O25</f>
        <v>634</v>
      </c>
      <c r="Q236"/>
      <c r="R236" s="60"/>
      <c r="S236"/>
      <c r="T236"/>
      <c r="AD236" s="30" t="e">
        <f>#REF!</f>
        <v>#REF!</v>
      </c>
      <c r="AE236" s="269"/>
      <c r="AF236" s="30" t="e">
        <f>#REF!</f>
        <v>#REF!</v>
      </c>
      <c r="AH236" s="364" t="e">
        <f>SUM(AD236:AG236)</f>
        <v>#REF!</v>
      </c>
    </row>
    <row r="237" spans="1:94" x14ac:dyDescent="0.2">
      <c r="C237" s="195"/>
      <c r="D237" s="250"/>
      <c r="E237" s="250"/>
      <c r="G237" s="250"/>
      <c r="H237" s="503"/>
      <c r="I237" s="250"/>
      <c r="J237" s="250"/>
      <c r="K237" s="250"/>
      <c r="N237" s="43" t="s">
        <v>1550</v>
      </c>
      <c r="O237" s="30">
        <f>SUM(O23,O30)</f>
        <v>1463</v>
      </c>
      <c r="Q237"/>
      <c r="R237" s="60"/>
      <c r="S237"/>
      <c r="T237"/>
      <c r="AD237" s="30"/>
      <c r="AE237" s="269"/>
      <c r="AF237" s="30"/>
      <c r="AG237" s="30"/>
    </row>
    <row r="238" spans="1:94" x14ac:dyDescent="0.2">
      <c r="C238" s="195"/>
      <c r="D238" s="250"/>
      <c r="E238" s="250"/>
      <c r="G238" s="250"/>
      <c r="H238" s="503"/>
      <c r="I238" s="250"/>
      <c r="J238" s="250"/>
      <c r="K238" s="250"/>
      <c r="N238" s="43"/>
      <c r="O238" s="30">
        <f>O21</f>
        <v>1639</v>
      </c>
      <c r="Q238"/>
      <c r="R238" s="60"/>
      <c r="S238"/>
      <c r="T238"/>
      <c r="AD238" s="30"/>
      <c r="AE238" s="269"/>
      <c r="AF238" s="30"/>
      <c r="AG238" s="30"/>
    </row>
    <row r="239" spans="1:94" x14ac:dyDescent="0.2">
      <c r="N239" s="43" t="s">
        <v>1551</v>
      </c>
      <c r="O239" s="30">
        <f>SUM(O27,O32,O34,O36,O37,O39)</f>
        <v>1890</v>
      </c>
      <c r="V239" s="60"/>
    </row>
    <row r="240" spans="1:94" x14ac:dyDescent="0.2">
      <c r="O240" s="30">
        <f>SUM(O235:O239)</f>
        <v>11433</v>
      </c>
      <c r="V240" s="60"/>
      <c r="AD240" s="30"/>
      <c r="AE240" s="269"/>
      <c r="AF240" s="30"/>
      <c r="AG240" s="30"/>
    </row>
    <row r="241" spans="3:22" x14ac:dyDescent="0.2">
      <c r="V241" s="60"/>
    </row>
    <row r="243" spans="3:22" x14ac:dyDescent="0.2">
      <c r="V243" s="60"/>
    </row>
    <row r="244" spans="3:22" x14ac:dyDescent="0.2">
      <c r="V244" s="60"/>
    </row>
    <row r="245" spans="3:22" x14ac:dyDescent="0.2">
      <c r="V245" s="60"/>
    </row>
    <row r="246" spans="3:22" x14ac:dyDescent="0.2">
      <c r="V246" s="60"/>
    </row>
    <row r="247" spans="3:22" x14ac:dyDescent="0.2">
      <c r="V247" s="60"/>
    </row>
    <row r="248" spans="3:22" x14ac:dyDescent="0.2">
      <c r="V248" s="60"/>
    </row>
    <row r="249" spans="3:22" x14ac:dyDescent="0.2">
      <c r="V249" s="60"/>
    </row>
    <row r="250" spans="3:22" ht="49" thickBot="1" x14ac:dyDescent="0.25">
      <c r="M250" s="38" t="s">
        <v>208</v>
      </c>
      <c r="N250" s="38"/>
      <c r="O250" s="38" t="s">
        <v>211</v>
      </c>
      <c r="P250" s="38"/>
      <c r="Q250" s="38" t="s">
        <v>212</v>
      </c>
      <c r="V250" s="60"/>
    </row>
    <row r="251" spans="3:22" ht="6" customHeight="1" x14ac:dyDescent="0.2">
      <c r="V251" s="60"/>
    </row>
    <row r="252" spans="3:22" x14ac:dyDescent="0.2">
      <c r="C252" t="s">
        <v>380</v>
      </c>
      <c r="Q252" s="30">
        <v>2932</v>
      </c>
      <c r="V252" s="60"/>
    </row>
    <row r="253" spans="3:22" ht="6" customHeight="1" x14ac:dyDescent="0.2">
      <c r="V253" s="60"/>
    </row>
    <row r="254" spans="3:22" x14ac:dyDescent="0.2">
      <c r="C254" t="s">
        <v>296</v>
      </c>
      <c r="M254" s="43">
        <v>40</v>
      </c>
      <c r="N254" s="43"/>
      <c r="O254" s="30">
        <v>1550</v>
      </c>
      <c r="P254" s="30"/>
      <c r="Q254" s="30">
        <f t="shared" ref="Q254:Q265" si="101">O254*$M$4</f>
        <v>3100</v>
      </c>
      <c r="V254" s="60"/>
    </row>
    <row r="255" spans="3:22" x14ac:dyDescent="0.2">
      <c r="C255" t="s">
        <v>434</v>
      </c>
      <c r="M255" s="43">
        <v>75</v>
      </c>
      <c r="N255" s="43"/>
      <c r="O255" s="30">
        <v>984</v>
      </c>
      <c r="P255" s="30"/>
      <c r="Q255" s="30">
        <f t="shared" si="101"/>
        <v>1968</v>
      </c>
      <c r="V255" s="60"/>
    </row>
    <row r="256" spans="3:22" x14ac:dyDescent="0.2">
      <c r="C256" t="s">
        <v>178</v>
      </c>
      <c r="M256" s="43">
        <v>42</v>
      </c>
      <c r="N256" s="43"/>
      <c r="O256" s="30">
        <v>909</v>
      </c>
      <c r="P256" s="30"/>
      <c r="Q256" s="30">
        <f t="shared" si="101"/>
        <v>1818</v>
      </c>
      <c r="V256" s="60"/>
    </row>
    <row r="257" spans="3:22" x14ac:dyDescent="0.2">
      <c r="C257" t="s">
        <v>367</v>
      </c>
      <c r="M257" s="43">
        <v>68</v>
      </c>
      <c r="N257" s="43"/>
      <c r="O257" s="30">
        <v>890</v>
      </c>
      <c r="P257" s="30"/>
      <c r="Q257" s="30">
        <f t="shared" si="101"/>
        <v>1780</v>
      </c>
      <c r="V257" s="60"/>
    </row>
    <row r="258" spans="3:22" x14ac:dyDescent="0.2">
      <c r="C258" s="33" t="s">
        <v>368</v>
      </c>
      <c r="D258" s="33"/>
      <c r="E258" s="33"/>
      <c r="F258" s="33"/>
      <c r="G258" s="61"/>
      <c r="I258" s="61"/>
      <c r="J258" s="33"/>
      <c r="K258" s="33"/>
      <c r="L258" s="61"/>
      <c r="M258" s="61">
        <v>55</v>
      </c>
      <c r="N258" s="61"/>
      <c r="O258" s="34">
        <v>756</v>
      </c>
      <c r="P258" s="34"/>
      <c r="Q258" s="30">
        <f t="shared" si="101"/>
        <v>1512</v>
      </c>
    </row>
    <row r="259" spans="3:22" x14ac:dyDescent="0.2">
      <c r="C259" s="126" t="s">
        <v>437</v>
      </c>
      <c r="D259" s="126"/>
      <c r="E259" s="126"/>
      <c r="F259" s="126"/>
      <c r="G259" s="64"/>
      <c r="H259" s="513"/>
      <c r="I259" s="64"/>
      <c r="J259" s="126"/>
      <c r="K259" s="126"/>
      <c r="L259" s="64"/>
      <c r="M259" s="62">
        <v>60</v>
      </c>
      <c r="N259" s="62"/>
      <c r="O259" s="36">
        <v>712</v>
      </c>
      <c r="P259" s="36"/>
      <c r="Q259" s="30">
        <f t="shared" si="101"/>
        <v>1424</v>
      </c>
    </row>
    <row r="260" spans="3:22" x14ac:dyDescent="0.2">
      <c r="C260" s="126" t="s">
        <v>433</v>
      </c>
      <c r="D260" s="126"/>
      <c r="E260" s="126"/>
      <c r="F260" s="126"/>
      <c r="G260" s="64"/>
      <c r="H260" s="513"/>
      <c r="I260" s="64"/>
      <c r="J260" s="126"/>
      <c r="K260" s="126"/>
      <c r="L260" s="64"/>
      <c r="M260" s="62" t="s">
        <v>11</v>
      </c>
      <c r="N260" s="62"/>
      <c r="O260" s="36">
        <v>650</v>
      </c>
      <c r="P260" s="36"/>
      <c r="Q260" s="30">
        <f t="shared" si="101"/>
        <v>1300</v>
      </c>
    </row>
    <row r="261" spans="3:22" x14ac:dyDescent="0.2">
      <c r="C261" s="37" t="s">
        <v>303</v>
      </c>
      <c r="D261" s="37"/>
      <c r="E261" s="37"/>
      <c r="F261" s="37"/>
      <c r="G261" s="63"/>
      <c r="H261" s="512"/>
      <c r="I261" s="63"/>
      <c r="J261" s="37"/>
      <c r="K261" s="37"/>
      <c r="L261" s="63"/>
      <c r="M261" s="63">
        <v>58</v>
      </c>
      <c r="N261" s="63"/>
      <c r="O261" s="45">
        <v>575</v>
      </c>
      <c r="P261" s="45"/>
      <c r="Q261" s="30">
        <f t="shared" si="101"/>
        <v>1150</v>
      </c>
    </row>
    <row r="262" spans="3:22" x14ac:dyDescent="0.2">
      <c r="C262" s="35" t="s">
        <v>435</v>
      </c>
      <c r="D262" s="35"/>
      <c r="E262" s="35"/>
      <c r="F262" s="35"/>
      <c r="G262" s="62"/>
      <c r="H262" s="511"/>
      <c r="I262" s="62"/>
      <c r="J262" s="35"/>
      <c r="K262" s="35"/>
      <c r="L262" s="62"/>
      <c r="M262" s="62">
        <v>32</v>
      </c>
      <c r="N262" s="62"/>
      <c r="O262" s="36">
        <v>546</v>
      </c>
      <c r="P262" s="36"/>
      <c r="Q262" s="30">
        <f t="shared" si="101"/>
        <v>1092</v>
      </c>
    </row>
    <row r="263" spans="3:22" x14ac:dyDescent="0.2">
      <c r="C263" s="35" t="s">
        <v>436</v>
      </c>
      <c r="D263" s="35"/>
      <c r="E263" s="35"/>
      <c r="F263" s="35"/>
      <c r="G263" s="62"/>
      <c r="H263" s="511"/>
      <c r="I263" s="62"/>
      <c r="J263" s="35"/>
      <c r="K263" s="35"/>
      <c r="L263" s="62"/>
      <c r="M263" s="64">
        <v>67</v>
      </c>
      <c r="N263" s="64"/>
      <c r="O263" s="36">
        <v>496</v>
      </c>
      <c r="P263" s="36"/>
      <c r="Q263" s="30">
        <f t="shared" si="101"/>
        <v>992</v>
      </c>
    </row>
    <row r="264" spans="3:22" x14ac:dyDescent="0.2">
      <c r="C264" t="s">
        <v>440</v>
      </c>
      <c r="M264" s="43">
        <v>53</v>
      </c>
      <c r="N264" s="43"/>
      <c r="O264" s="30">
        <v>423</v>
      </c>
      <c r="P264" s="30"/>
      <c r="Q264" s="30">
        <f t="shared" si="101"/>
        <v>846</v>
      </c>
    </row>
    <row r="265" spans="3:22" x14ac:dyDescent="0.2">
      <c r="C265" s="35" t="s">
        <v>28</v>
      </c>
      <c r="D265" s="35"/>
      <c r="E265" s="35"/>
      <c r="F265" s="35"/>
      <c r="G265" s="62"/>
      <c r="H265" s="511"/>
      <c r="I265" s="62"/>
      <c r="J265" s="35"/>
      <c r="K265" s="35"/>
      <c r="L265" s="62"/>
      <c r="M265" s="62">
        <v>53</v>
      </c>
      <c r="N265" s="62"/>
      <c r="O265" s="36">
        <v>410</v>
      </c>
      <c r="P265" s="36"/>
      <c r="Q265" s="30">
        <f t="shared" si="101"/>
        <v>820</v>
      </c>
    </row>
    <row r="266" spans="3:22" x14ac:dyDescent="0.2">
      <c r="C266" s="35" t="s">
        <v>267</v>
      </c>
      <c r="D266" s="35"/>
      <c r="E266" s="35"/>
      <c r="F266" s="35"/>
      <c r="G266" s="62"/>
      <c r="H266" s="511"/>
      <c r="I266" s="62"/>
      <c r="J266" s="35"/>
      <c r="K266" s="35"/>
      <c r="L266" s="62"/>
      <c r="M266" s="62">
        <v>39</v>
      </c>
      <c r="N266" s="62"/>
      <c r="O266" s="36">
        <v>305</v>
      </c>
      <c r="P266" s="36"/>
      <c r="Q266" s="30"/>
    </row>
    <row r="267" spans="3:22" x14ac:dyDescent="0.2">
      <c r="C267" t="s">
        <v>438</v>
      </c>
      <c r="M267" s="43">
        <v>39</v>
      </c>
      <c r="N267" s="43"/>
      <c r="O267" s="30">
        <v>275</v>
      </c>
      <c r="P267" s="30"/>
      <c r="Q267" s="30">
        <f>O267*$M$4</f>
        <v>550</v>
      </c>
    </row>
    <row r="268" spans="3:22" x14ac:dyDescent="0.2">
      <c r="C268" t="s">
        <v>439</v>
      </c>
      <c r="M268" s="43">
        <v>47</v>
      </c>
      <c r="N268" s="43"/>
      <c r="O268" s="30">
        <v>249</v>
      </c>
      <c r="P268" s="30"/>
      <c r="Q268" s="30">
        <f>O268*$M$4</f>
        <v>498</v>
      </c>
    </row>
    <row r="269" spans="3:22" x14ac:dyDescent="0.2">
      <c r="C269" t="s">
        <v>47</v>
      </c>
      <c r="M269" s="43">
        <v>31</v>
      </c>
      <c r="N269" s="43"/>
      <c r="O269" s="30">
        <v>121</v>
      </c>
      <c r="P269" s="30"/>
      <c r="Q269" s="30">
        <f>O269*$M$4</f>
        <v>242</v>
      </c>
    </row>
    <row r="270" spans="3:22" x14ac:dyDescent="0.2">
      <c r="O270" s="30"/>
      <c r="P270" s="30"/>
      <c r="Q270" s="30"/>
    </row>
    <row r="271" spans="3:22" x14ac:dyDescent="0.2">
      <c r="O271" s="46">
        <f>SUM(O252:O269)</f>
        <v>9851</v>
      </c>
      <c r="P271" s="46"/>
      <c r="Q271" s="46">
        <f>SUM(Q252:Q269)</f>
        <v>22024</v>
      </c>
      <c r="S271" s="30">
        <f>Q271-Q252</f>
        <v>19092</v>
      </c>
    </row>
    <row r="272" spans="3:22" x14ac:dyDescent="0.2">
      <c r="O272" s="157" t="s">
        <v>441</v>
      </c>
      <c r="P272" s="157"/>
      <c r="Q272" s="47">
        <f>Q271/Q252</f>
        <v>7.5115961800818551</v>
      </c>
    </row>
    <row r="280" spans="17:17" x14ac:dyDescent="0.2">
      <c r="Q280" s="43">
        <v>22000</v>
      </c>
    </row>
    <row r="281" spans="17:17" x14ac:dyDescent="0.2">
      <c r="Q281" s="43">
        <f>Q280*0.25</f>
        <v>5500</v>
      </c>
    </row>
  </sheetData>
  <sortState ref="A21:CP41">
    <sortCondition ref="E21:E41"/>
  </sortState>
  <mergeCells count="1">
    <mergeCell ref="S10:U10"/>
  </mergeCells>
  <phoneticPr fontId="10" type="noConversion"/>
  <pageMargins left="0.16" right="0.16" top="0.41000000000000009" bottom="0.8" header="0.5" footer="0.10999999999999999"/>
  <pageSetup paperSize="9" scale="44" fitToHeight="4" orientation="landscape" horizontalDpi="4294967292" verticalDpi="4294967292"/>
  <headerFooter>
    <oddFooter>&amp;L&amp;"Calibri,Regular"&amp;K000000Author: Andrew Wood_x000D_Email: isleofdogsnpf@gmail.com_x000D_Tel: 07710 486 873&amp;C&amp;"Calibri,Regular"&amp;K000000&amp;A&amp;R&amp;"Calibri,Regular"&amp;K000000&amp;F_x000D_&amp;D</oddFooter>
  </headerFooter>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84"/>
  <sheetViews>
    <sheetView showGridLines="0" workbookViewId="0">
      <selection activeCell="C13" sqref="C13"/>
    </sheetView>
  </sheetViews>
  <sheetFormatPr baseColWidth="10" defaultRowHeight="16" x14ac:dyDescent="0.2"/>
  <cols>
    <col min="1" max="1" width="3.83203125" style="3" customWidth="1"/>
    <col min="2" max="2" width="27.1640625" style="3" customWidth="1"/>
    <col min="3" max="3" width="25.33203125" style="3" customWidth="1"/>
    <col min="4" max="4" width="51.1640625" style="3" customWidth="1"/>
    <col min="5" max="5" width="9.6640625" style="29" customWidth="1"/>
    <col min="6" max="6" width="14.33203125" style="3" bestFit="1" customWidth="1"/>
    <col min="7" max="7" width="10.83203125" style="4"/>
    <col min="8" max="8" width="14.33203125" style="3" customWidth="1"/>
    <col min="9" max="9" width="10.83203125" style="3"/>
    <col min="10" max="10" width="81" style="3" customWidth="1"/>
    <col min="11" max="16384" width="10.83203125" style="3"/>
  </cols>
  <sheetData>
    <row r="1" spans="1:10" ht="18" x14ac:dyDescent="0.2">
      <c r="A1" s="2" t="s">
        <v>256</v>
      </c>
    </row>
    <row r="2" spans="1:10" ht="36" customHeight="1" x14ac:dyDescent="0.2">
      <c r="A2" s="610" t="s">
        <v>106</v>
      </c>
      <c r="B2" s="610"/>
      <c r="C2" s="610"/>
      <c r="D2" s="610"/>
      <c r="E2" s="610"/>
      <c r="F2" s="610"/>
      <c r="G2" s="610"/>
    </row>
    <row r="3" spans="1:10" x14ac:dyDescent="0.2">
      <c r="A3" s="6" t="s">
        <v>83</v>
      </c>
    </row>
    <row r="5" spans="1:10" s="8" customFormat="1" ht="49" thickBot="1" x14ac:dyDescent="0.25">
      <c r="A5" s="7" t="s">
        <v>21</v>
      </c>
      <c r="B5" s="7" t="s">
        <v>20</v>
      </c>
      <c r="C5" s="7" t="s">
        <v>0</v>
      </c>
      <c r="D5" s="7" t="s">
        <v>31</v>
      </c>
      <c r="E5" s="7" t="s">
        <v>188</v>
      </c>
      <c r="F5" s="7" t="s">
        <v>22</v>
      </c>
      <c r="G5" s="22" t="s">
        <v>131</v>
      </c>
      <c r="H5" s="7" t="s">
        <v>1</v>
      </c>
      <c r="I5" s="7" t="s">
        <v>2</v>
      </c>
      <c r="J5" s="7" t="s">
        <v>84</v>
      </c>
    </row>
    <row r="6" spans="1:10" x14ac:dyDescent="0.2">
      <c r="A6" s="9"/>
      <c r="B6" s="1"/>
      <c r="C6" s="1"/>
      <c r="D6" s="1"/>
      <c r="E6" s="1"/>
      <c r="F6" s="1"/>
      <c r="G6" s="10"/>
      <c r="H6" s="1"/>
      <c r="I6" s="1"/>
      <c r="J6" s="1"/>
    </row>
    <row r="7" spans="1:10" x14ac:dyDescent="0.2">
      <c r="A7" s="11" t="s">
        <v>23</v>
      </c>
      <c r="B7" s="1"/>
      <c r="C7" s="1"/>
      <c r="D7" s="1"/>
      <c r="E7" s="1"/>
      <c r="F7" s="1"/>
      <c r="G7" s="10"/>
      <c r="H7" s="1"/>
      <c r="I7" s="1"/>
      <c r="J7" s="1"/>
    </row>
    <row r="8" spans="1:10" x14ac:dyDescent="0.2">
      <c r="A8" s="11"/>
      <c r="B8" s="1" t="s">
        <v>85</v>
      </c>
      <c r="C8" s="1" t="s">
        <v>5</v>
      </c>
      <c r="D8" s="1" t="s">
        <v>32</v>
      </c>
      <c r="E8" s="1" t="s">
        <v>189</v>
      </c>
      <c r="F8" s="1">
        <v>45</v>
      </c>
      <c r="G8" s="10">
        <v>330</v>
      </c>
      <c r="H8" s="18" t="s">
        <v>11</v>
      </c>
      <c r="I8" s="1" t="s">
        <v>6</v>
      </c>
      <c r="J8" s="1" t="s">
        <v>62</v>
      </c>
    </row>
    <row r="9" spans="1:10" x14ac:dyDescent="0.2">
      <c r="A9" s="11"/>
      <c r="B9" s="1" t="s">
        <v>47</v>
      </c>
      <c r="C9" s="1" t="s">
        <v>48</v>
      </c>
      <c r="D9" s="1" t="s">
        <v>49</v>
      </c>
      <c r="E9" s="1" t="s">
        <v>189</v>
      </c>
      <c r="F9" s="1">
        <v>31</v>
      </c>
      <c r="G9" s="10">
        <v>111</v>
      </c>
      <c r="H9" s="18" t="s">
        <v>11</v>
      </c>
      <c r="I9" s="1"/>
      <c r="J9" s="1" t="s">
        <v>46</v>
      </c>
    </row>
    <row r="10" spans="1:10" ht="48" x14ac:dyDescent="0.2">
      <c r="A10" s="11"/>
      <c r="B10" s="1" t="s">
        <v>112</v>
      </c>
      <c r="C10" s="1" t="s">
        <v>113</v>
      </c>
      <c r="D10" s="1" t="s">
        <v>133</v>
      </c>
      <c r="E10" s="1" t="s">
        <v>189</v>
      </c>
      <c r="F10" s="1">
        <v>46</v>
      </c>
      <c r="G10" s="10">
        <f>249+155</f>
        <v>404</v>
      </c>
      <c r="H10" s="18" t="s">
        <v>11</v>
      </c>
      <c r="I10" s="1" t="s">
        <v>115</v>
      </c>
      <c r="J10" s="1" t="s">
        <v>114</v>
      </c>
    </row>
    <row r="11" spans="1:10" ht="32" x14ac:dyDescent="0.2">
      <c r="A11" s="11"/>
      <c r="B11" s="1" t="s">
        <v>116</v>
      </c>
      <c r="C11" s="1" t="s">
        <v>117</v>
      </c>
      <c r="D11" s="1" t="s">
        <v>118</v>
      </c>
      <c r="E11" s="1" t="s">
        <v>189</v>
      </c>
      <c r="F11" s="1"/>
      <c r="G11" s="10">
        <f>399-189</f>
        <v>210</v>
      </c>
      <c r="H11" s="18" t="s">
        <v>81</v>
      </c>
      <c r="I11" s="1" t="s">
        <v>120</v>
      </c>
      <c r="J11" s="1" t="s">
        <v>119</v>
      </c>
    </row>
    <row r="12" spans="1:10" x14ac:dyDescent="0.2">
      <c r="A12" s="11"/>
      <c r="B12" s="1" t="s">
        <v>184</v>
      </c>
      <c r="C12" s="1" t="s">
        <v>181</v>
      </c>
      <c r="D12" s="1" t="s">
        <v>183</v>
      </c>
      <c r="E12" s="1" t="s">
        <v>189</v>
      </c>
      <c r="F12" s="1">
        <v>29</v>
      </c>
      <c r="G12" s="10">
        <v>167</v>
      </c>
      <c r="H12" s="18" t="s">
        <v>11</v>
      </c>
      <c r="I12" s="1"/>
      <c r="J12" s="1" t="s">
        <v>182</v>
      </c>
    </row>
    <row r="13" spans="1:10" ht="32" x14ac:dyDescent="0.2">
      <c r="A13" s="11"/>
      <c r="B13" s="1" t="s">
        <v>79</v>
      </c>
      <c r="C13" s="1" t="s">
        <v>77</v>
      </c>
      <c r="D13" s="1" t="s">
        <v>101</v>
      </c>
      <c r="E13" s="1" t="s">
        <v>189</v>
      </c>
      <c r="F13" s="1">
        <v>23</v>
      </c>
      <c r="G13" s="10">
        <v>850</v>
      </c>
      <c r="H13" s="18" t="s">
        <v>76</v>
      </c>
      <c r="I13" s="1" t="s">
        <v>78</v>
      </c>
      <c r="J13" s="1" t="s">
        <v>80</v>
      </c>
    </row>
    <row r="14" spans="1:10" s="29" customFormat="1" ht="32" x14ac:dyDescent="0.2">
      <c r="A14" s="11"/>
      <c r="B14" s="1" t="s">
        <v>195</v>
      </c>
      <c r="C14" s="1" t="s">
        <v>196</v>
      </c>
      <c r="D14" s="1" t="s">
        <v>198</v>
      </c>
      <c r="E14" s="1" t="s">
        <v>189</v>
      </c>
      <c r="F14" s="1">
        <v>53</v>
      </c>
      <c r="G14" s="10">
        <v>400</v>
      </c>
      <c r="H14" s="18" t="s">
        <v>11</v>
      </c>
      <c r="I14" s="1"/>
      <c r="J14" s="1" t="s">
        <v>197</v>
      </c>
    </row>
    <row r="15" spans="1:10" s="5" customFormat="1" ht="32" x14ac:dyDescent="0.2">
      <c r="A15" s="9"/>
      <c r="B15" s="1" t="s">
        <v>51</v>
      </c>
      <c r="C15" s="1" t="s">
        <v>56</v>
      </c>
      <c r="D15" s="1" t="s">
        <v>50</v>
      </c>
      <c r="E15" s="1" t="s">
        <v>190</v>
      </c>
      <c r="F15" s="1">
        <v>75</v>
      </c>
      <c r="G15" s="10">
        <v>984</v>
      </c>
      <c r="H15" s="18" t="s">
        <v>11</v>
      </c>
      <c r="I15" s="1" t="s">
        <v>57</v>
      </c>
      <c r="J15" s="1" t="s">
        <v>55</v>
      </c>
    </row>
    <row r="16" spans="1:10" s="5" customFormat="1" x14ac:dyDescent="0.2">
      <c r="A16" s="9"/>
      <c r="B16" s="1" t="s">
        <v>102</v>
      </c>
      <c r="C16" s="1" t="s">
        <v>103</v>
      </c>
      <c r="D16" s="1" t="s">
        <v>138</v>
      </c>
      <c r="E16" s="1" t="s">
        <v>190</v>
      </c>
      <c r="F16" s="1">
        <v>73</v>
      </c>
      <c r="G16" s="10">
        <v>950</v>
      </c>
      <c r="H16" s="18">
        <v>2017</v>
      </c>
      <c r="I16" s="1" t="s">
        <v>104</v>
      </c>
      <c r="J16" s="1" t="s">
        <v>97</v>
      </c>
    </row>
    <row r="17" spans="1:10" s="23" customFormat="1" ht="32" x14ac:dyDescent="0.2">
      <c r="A17" s="9"/>
      <c r="B17" s="1" t="s">
        <v>59</v>
      </c>
      <c r="C17" s="1" t="s">
        <v>60</v>
      </c>
      <c r="D17" s="1" t="s">
        <v>58</v>
      </c>
      <c r="E17" s="1" t="s">
        <v>190</v>
      </c>
      <c r="F17" s="1">
        <v>55</v>
      </c>
      <c r="G17" s="10">
        <v>792</v>
      </c>
      <c r="H17" s="18" t="s">
        <v>105</v>
      </c>
      <c r="I17" s="1"/>
      <c r="J17" s="1" t="s">
        <v>61</v>
      </c>
    </row>
    <row r="18" spans="1:10" s="5" customFormat="1" x14ac:dyDescent="0.2">
      <c r="A18" s="11"/>
      <c r="B18" s="1" t="s">
        <v>28</v>
      </c>
      <c r="C18" s="1" t="s">
        <v>28</v>
      </c>
      <c r="D18" s="1" t="s">
        <v>33</v>
      </c>
      <c r="E18" s="1" t="s">
        <v>190</v>
      </c>
      <c r="F18" s="1">
        <v>52</v>
      </c>
      <c r="G18" s="10">
        <v>405</v>
      </c>
      <c r="H18" s="18" t="s">
        <v>29</v>
      </c>
      <c r="I18" s="1" t="s">
        <v>30</v>
      </c>
      <c r="J18" s="1" t="s">
        <v>34</v>
      </c>
    </row>
    <row r="19" spans="1:10" ht="48" x14ac:dyDescent="0.2">
      <c r="A19" s="11"/>
      <c r="B19" s="1" t="s">
        <v>121</v>
      </c>
      <c r="C19" s="1" t="s">
        <v>121</v>
      </c>
      <c r="D19" s="1" t="s">
        <v>134</v>
      </c>
      <c r="E19" s="1" t="s">
        <v>190</v>
      </c>
      <c r="F19" s="1">
        <v>39</v>
      </c>
      <c r="G19" s="10">
        <v>305</v>
      </c>
      <c r="H19" s="18" t="s">
        <v>81</v>
      </c>
      <c r="I19" s="1" t="s">
        <v>122</v>
      </c>
      <c r="J19" s="1" t="s">
        <v>126</v>
      </c>
    </row>
    <row r="20" spans="1:10" s="28" customFormat="1" ht="32" x14ac:dyDescent="0.2">
      <c r="A20" s="11"/>
      <c r="B20" s="1" t="s">
        <v>123</v>
      </c>
      <c r="C20" s="1" t="s">
        <v>123</v>
      </c>
      <c r="D20" s="1" t="s">
        <v>268</v>
      </c>
      <c r="E20" s="1" t="s">
        <v>190</v>
      </c>
      <c r="F20" s="1">
        <v>43</v>
      </c>
      <c r="G20" s="10">
        <v>275</v>
      </c>
      <c r="H20" s="18" t="s">
        <v>124</v>
      </c>
      <c r="I20" s="1" t="s">
        <v>122</v>
      </c>
      <c r="J20" s="1" t="s">
        <v>125</v>
      </c>
    </row>
    <row r="21" spans="1:10" s="28" customFormat="1" x14ac:dyDescent="0.2">
      <c r="A21" s="11"/>
      <c r="B21" s="1" t="s">
        <v>139</v>
      </c>
      <c r="C21" s="1" t="s">
        <v>141</v>
      </c>
      <c r="D21" s="1" t="s">
        <v>140</v>
      </c>
      <c r="E21" s="1" t="s">
        <v>190</v>
      </c>
      <c r="F21" s="1">
        <v>68</v>
      </c>
      <c r="G21" s="10">
        <v>490</v>
      </c>
      <c r="H21" s="18" t="s">
        <v>11</v>
      </c>
      <c r="I21" s="1"/>
      <c r="J21" s="1" t="s">
        <v>142</v>
      </c>
    </row>
    <row r="22" spans="1:10" s="24" customFormat="1" ht="32" x14ac:dyDescent="0.2">
      <c r="A22" s="9"/>
      <c r="B22" s="1" t="s">
        <v>93</v>
      </c>
      <c r="C22" s="1" t="s">
        <v>96</v>
      </c>
      <c r="D22" s="1" t="s">
        <v>132</v>
      </c>
      <c r="E22" s="1" t="s">
        <v>190</v>
      </c>
      <c r="F22" s="1">
        <v>32</v>
      </c>
      <c r="G22" s="10">
        <v>546</v>
      </c>
      <c r="H22" s="18" t="s">
        <v>95</v>
      </c>
      <c r="I22" s="1" t="s">
        <v>150</v>
      </c>
      <c r="J22" s="1" t="s">
        <v>94</v>
      </c>
    </row>
    <row r="23" spans="1:10" s="24" customFormat="1" x14ac:dyDescent="0.2">
      <c r="A23" s="9"/>
      <c r="B23" s="1" t="s">
        <v>179</v>
      </c>
      <c r="C23" s="1" t="s">
        <v>96</v>
      </c>
      <c r="D23" s="1" t="s">
        <v>180</v>
      </c>
      <c r="E23" s="1" t="s">
        <v>190</v>
      </c>
      <c r="F23" s="1">
        <v>40</v>
      </c>
      <c r="G23" s="10">
        <v>1550</v>
      </c>
      <c r="H23" s="18" t="s">
        <v>11</v>
      </c>
      <c r="I23" s="1"/>
      <c r="J23" s="1"/>
    </row>
    <row r="24" spans="1:10" s="24" customFormat="1" x14ac:dyDescent="0.2">
      <c r="A24" s="9"/>
      <c r="B24" s="1" t="s">
        <v>178</v>
      </c>
      <c r="C24" s="1" t="s">
        <v>96</v>
      </c>
      <c r="D24" s="1" t="s">
        <v>185</v>
      </c>
      <c r="E24" s="1" t="s">
        <v>190</v>
      </c>
      <c r="F24" s="1"/>
      <c r="G24" s="10">
        <v>950</v>
      </c>
      <c r="H24" s="18"/>
      <c r="I24" s="1"/>
      <c r="J24" s="1"/>
    </row>
    <row r="25" spans="1:10" ht="32" x14ac:dyDescent="0.2">
      <c r="A25" s="9"/>
      <c r="B25" s="1" t="s">
        <v>151</v>
      </c>
      <c r="C25" s="1" t="s">
        <v>96</v>
      </c>
      <c r="D25" s="1" t="s">
        <v>152</v>
      </c>
      <c r="E25" s="1" t="s">
        <v>190</v>
      </c>
      <c r="F25" s="1">
        <v>14</v>
      </c>
      <c r="G25" s="10">
        <v>136</v>
      </c>
      <c r="H25" s="18" t="s">
        <v>259</v>
      </c>
      <c r="I25" s="1" t="s">
        <v>154</v>
      </c>
      <c r="J25" s="1" t="s">
        <v>153</v>
      </c>
    </row>
    <row r="26" spans="1:10" ht="32" x14ac:dyDescent="0.2">
      <c r="A26" s="9"/>
      <c r="B26" s="1" t="s">
        <v>155</v>
      </c>
      <c r="C26" s="1" t="s">
        <v>96</v>
      </c>
      <c r="D26" s="1" t="s">
        <v>264</v>
      </c>
      <c r="E26" s="1" t="s">
        <v>190</v>
      </c>
      <c r="F26" s="1">
        <v>10</v>
      </c>
      <c r="G26" s="10">
        <v>143</v>
      </c>
      <c r="H26" s="18" t="s">
        <v>105</v>
      </c>
      <c r="I26" s="1" t="s">
        <v>154</v>
      </c>
      <c r="J26" s="1" t="s">
        <v>156</v>
      </c>
    </row>
    <row r="27" spans="1:10" ht="32" x14ac:dyDescent="0.2">
      <c r="A27" s="9"/>
      <c r="B27" s="1" t="s">
        <v>157</v>
      </c>
      <c r="C27" s="1" t="s">
        <v>158</v>
      </c>
      <c r="D27" s="1" t="s">
        <v>159</v>
      </c>
      <c r="E27" s="1" t="s">
        <v>190</v>
      </c>
      <c r="F27" s="1">
        <v>7</v>
      </c>
      <c r="G27" s="10">
        <v>89</v>
      </c>
      <c r="H27" s="18" t="s">
        <v>105</v>
      </c>
      <c r="I27" s="1"/>
      <c r="J27" s="1" t="s">
        <v>160</v>
      </c>
    </row>
    <row r="28" spans="1:10" s="24" customFormat="1" x14ac:dyDescent="0.2">
      <c r="A28" s="11"/>
      <c r="B28" s="1" t="s">
        <v>161</v>
      </c>
      <c r="C28" s="1" t="s">
        <v>53</v>
      </c>
      <c r="D28" s="1" t="s">
        <v>162</v>
      </c>
      <c r="E28" s="1" t="s">
        <v>190</v>
      </c>
      <c r="F28" s="1">
        <v>5</v>
      </c>
      <c r="G28" s="10">
        <v>9</v>
      </c>
      <c r="H28" s="18" t="s">
        <v>148</v>
      </c>
      <c r="I28" s="1"/>
      <c r="J28" s="1"/>
    </row>
    <row r="29" spans="1:10" s="5" customFormat="1" x14ac:dyDescent="0.2">
      <c r="A29" s="11"/>
      <c r="B29" s="1" t="s">
        <v>174</v>
      </c>
      <c r="C29" s="1" t="s">
        <v>175</v>
      </c>
      <c r="D29" s="1" t="s">
        <v>176</v>
      </c>
      <c r="E29" s="1" t="s">
        <v>190</v>
      </c>
      <c r="F29" s="1" t="s">
        <v>11</v>
      </c>
      <c r="G29" s="10">
        <v>900</v>
      </c>
      <c r="H29" s="18" t="s">
        <v>11</v>
      </c>
      <c r="I29" s="1"/>
      <c r="J29" s="1" t="s">
        <v>177</v>
      </c>
    </row>
    <row r="30" spans="1:10" s="25" customFormat="1" x14ac:dyDescent="0.2">
      <c r="A30" s="11"/>
      <c r="B30" s="1" t="s">
        <v>52</v>
      </c>
      <c r="C30" s="1" t="s">
        <v>53</v>
      </c>
      <c r="D30" s="1" t="s">
        <v>54</v>
      </c>
      <c r="E30" s="1" t="s">
        <v>191</v>
      </c>
      <c r="F30" s="1">
        <v>5</v>
      </c>
      <c r="G30" s="10">
        <v>173</v>
      </c>
      <c r="H30" s="18" t="s">
        <v>11</v>
      </c>
      <c r="I30" s="1"/>
      <c r="J30" s="1" t="s">
        <v>55</v>
      </c>
    </row>
    <row r="31" spans="1:10" ht="32" x14ac:dyDescent="0.2">
      <c r="A31" s="11"/>
      <c r="B31" s="1" t="s">
        <v>69</v>
      </c>
      <c r="C31" s="1" t="s">
        <v>143</v>
      </c>
      <c r="D31" s="1" t="s">
        <v>90</v>
      </c>
      <c r="E31" s="1" t="s">
        <v>191</v>
      </c>
      <c r="F31" s="1">
        <v>5</v>
      </c>
      <c r="G31" s="10">
        <v>36</v>
      </c>
      <c r="H31" s="18" t="s">
        <v>11</v>
      </c>
      <c r="I31" s="1" t="s">
        <v>70</v>
      </c>
      <c r="J31" s="1" t="s">
        <v>71</v>
      </c>
    </row>
    <row r="32" spans="1:10" s="26" customFormat="1" ht="32" x14ac:dyDescent="0.2">
      <c r="A32" s="11"/>
      <c r="B32" s="1" t="s">
        <v>72</v>
      </c>
      <c r="C32" s="1" t="s">
        <v>73</v>
      </c>
      <c r="D32" s="1" t="s">
        <v>91</v>
      </c>
      <c r="E32" s="1" t="s">
        <v>191</v>
      </c>
      <c r="F32" s="1">
        <v>6</v>
      </c>
      <c r="G32" s="10">
        <v>62</v>
      </c>
      <c r="H32" s="18" t="s">
        <v>81</v>
      </c>
      <c r="I32" s="1"/>
      <c r="J32" s="1" t="s">
        <v>74</v>
      </c>
    </row>
    <row r="33" spans="1:10" s="28" customFormat="1" ht="32" x14ac:dyDescent="0.2">
      <c r="A33" s="11"/>
      <c r="B33" s="1" t="s">
        <v>144</v>
      </c>
      <c r="C33" s="1" t="s">
        <v>73</v>
      </c>
      <c r="D33" s="1" t="s">
        <v>145</v>
      </c>
      <c r="E33" s="1" t="s">
        <v>191</v>
      </c>
      <c r="F33" s="1">
        <v>7</v>
      </c>
      <c r="G33" s="10">
        <f>12+27</f>
        <v>39</v>
      </c>
      <c r="H33" s="18" t="s">
        <v>81</v>
      </c>
      <c r="I33" s="1" t="s">
        <v>110</v>
      </c>
      <c r="J33" s="1"/>
    </row>
    <row r="34" spans="1:10" x14ac:dyDescent="0.2">
      <c r="A34" s="11"/>
      <c r="B34" s="1" t="s">
        <v>75</v>
      </c>
      <c r="C34" s="1" t="s">
        <v>100</v>
      </c>
      <c r="D34" s="1" t="s">
        <v>86</v>
      </c>
      <c r="E34" s="1" t="s">
        <v>191</v>
      </c>
      <c r="F34" s="1">
        <v>4</v>
      </c>
      <c r="G34" s="10">
        <v>26</v>
      </c>
      <c r="H34" s="18" t="s">
        <v>29</v>
      </c>
      <c r="I34" s="1" t="s">
        <v>98</v>
      </c>
      <c r="J34" s="1" t="s">
        <v>99</v>
      </c>
    </row>
    <row r="35" spans="1:10" x14ac:dyDescent="0.2">
      <c r="A35" s="11"/>
      <c r="B35" s="1"/>
      <c r="C35" s="1"/>
      <c r="D35" s="1"/>
      <c r="E35" s="1"/>
      <c r="F35" s="12" t="s">
        <v>82</v>
      </c>
      <c r="G35" s="13">
        <f>SUM(G8:G34)</f>
        <v>11332</v>
      </c>
      <c r="H35" s="18"/>
      <c r="I35" s="1"/>
      <c r="J35" s="1"/>
    </row>
    <row r="36" spans="1:10" x14ac:dyDescent="0.2">
      <c r="A36" s="11" t="s">
        <v>24</v>
      </c>
      <c r="B36" s="1"/>
      <c r="C36" s="1"/>
      <c r="D36" s="1"/>
      <c r="E36" s="1"/>
      <c r="F36" s="1"/>
      <c r="G36" s="10"/>
      <c r="H36" s="18"/>
      <c r="I36" s="1"/>
      <c r="J36" s="1"/>
    </row>
    <row r="37" spans="1:10" ht="32" x14ac:dyDescent="0.2">
      <c r="A37" s="11"/>
      <c r="B37" s="1" t="s">
        <v>39</v>
      </c>
      <c r="C37" s="1" t="s">
        <v>40</v>
      </c>
      <c r="D37" s="1" t="s">
        <v>92</v>
      </c>
      <c r="E37" s="1" t="s">
        <v>190</v>
      </c>
      <c r="F37" s="1">
        <v>71</v>
      </c>
      <c r="G37" s="10">
        <v>982</v>
      </c>
      <c r="H37" s="18" t="s">
        <v>29</v>
      </c>
      <c r="I37" s="1"/>
      <c r="J37" s="1" t="s">
        <v>41</v>
      </c>
    </row>
    <row r="38" spans="1:10" ht="32" x14ac:dyDescent="0.2">
      <c r="A38" s="11"/>
      <c r="B38" s="1" t="s">
        <v>64</v>
      </c>
      <c r="C38" s="1" t="s">
        <v>65</v>
      </c>
      <c r="D38" s="1" t="s">
        <v>87</v>
      </c>
      <c r="E38" s="1" t="s">
        <v>190</v>
      </c>
      <c r="F38" s="1">
        <v>58</v>
      </c>
      <c r="G38" s="10">
        <v>575</v>
      </c>
      <c r="H38" s="18" t="s">
        <v>29</v>
      </c>
      <c r="I38" s="1" t="s">
        <v>66</v>
      </c>
      <c r="J38" s="1" t="s">
        <v>63</v>
      </c>
    </row>
    <row r="39" spans="1:10" ht="32" x14ac:dyDescent="0.2">
      <c r="A39" s="11"/>
      <c r="B39" s="1" t="s">
        <v>42</v>
      </c>
      <c r="C39" s="1" t="s">
        <v>44</v>
      </c>
      <c r="D39" s="1" t="s">
        <v>257</v>
      </c>
      <c r="E39" s="1" t="s">
        <v>189</v>
      </c>
      <c r="F39" s="1">
        <v>57</v>
      </c>
      <c r="G39" s="10">
        <f>3600+350</f>
        <v>3950</v>
      </c>
      <c r="H39" s="18" t="s">
        <v>45</v>
      </c>
      <c r="I39" s="1" t="s">
        <v>67</v>
      </c>
      <c r="J39" s="1" t="s">
        <v>43</v>
      </c>
    </row>
    <row r="40" spans="1:10" ht="48" x14ac:dyDescent="0.2">
      <c r="A40" s="11"/>
      <c r="B40" s="1"/>
      <c r="C40" s="1"/>
      <c r="D40" s="1"/>
      <c r="E40" s="1"/>
      <c r="F40" s="1"/>
      <c r="G40" s="10"/>
      <c r="H40" s="18"/>
      <c r="I40" s="1"/>
      <c r="J40" s="1" t="s">
        <v>68</v>
      </c>
    </row>
    <row r="41" spans="1:10" ht="32" x14ac:dyDescent="0.2">
      <c r="A41" s="11"/>
      <c r="B41" s="1" t="s">
        <v>166</v>
      </c>
      <c r="C41" s="1" t="s">
        <v>167</v>
      </c>
      <c r="D41" s="1" t="s">
        <v>165</v>
      </c>
      <c r="E41" s="1" t="s">
        <v>192</v>
      </c>
      <c r="F41" s="1">
        <v>6</v>
      </c>
      <c r="G41" s="10">
        <v>17</v>
      </c>
      <c r="H41" s="18" t="s">
        <v>164</v>
      </c>
      <c r="I41" s="1" t="s">
        <v>163</v>
      </c>
      <c r="J41" s="1"/>
    </row>
    <row r="42" spans="1:10" s="25" customFormat="1" x14ac:dyDescent="0.2">
      <c r="A42" s="11"/>
      <c r="B42" s="1" t="s">
        <v>166</v>
      </c>
      <c r="C42" s="1" t="s">
        <v>166</v>
      </c>
      <c r="D42" s="1" t="s">
        <v>168</v>
      </c>
      <c r="E42" s="1" t="s">
        <v>192</v>
      </c>
      <c r="F42" s="1">
        <v>16</v>
      </c>
      <c r="G42" s="10">
        <v>252</v>
      </c>
      <c r="H42" s="18" t="s">
        <v>29</v>
      </c>
      <c r="I42" s="1" t="s">
        <v>169</v>
      </c>
      <c r="J42" s="1"/>
    </row>
    <row r="43" spans="1:10" x14ac:dyDescent="0.2">
      <c r="A43" s="9"/>
      <c r="B43" s="1"/>
      <c r="C43" s="1"/>
      <c r="D43" s="1"/>
      <c r="E43" s="1"/>
      <c r="F43" s="1"/>
      <c r="G43" s="10"/>
      <c r="H43" s="18"/>
      <c r="I43" s="1"/>
      <c r="J43" s="1"/>
    </row>
    <row r="44" spans="1:10" x14ac:dyDescent="0.2">
      <c r="A44" s="11"/>
      <c r="B44" s="1"/>
      <c r="C44" s="1"/>
      <c r="D44" s="1"/>
      <c r="E44" s="1"/>
      <c r="F44" s="12" t="s">
        <v>82</v>
      </c>
      <c r="G44" s="13">
        <f>SUM(G37:G43)</f>
        <v>5776</v>
      </c>
      <c r="H44" s="18"/>
      <c r="I44" s="1"/>
      <c r="J44" s="1"/>
    </row>
    <row r="45" spans="1:10" x14ac:dyDescent="0.2">
      <c r="A45" s="11" t="s">
        <v>26</v>
      </c>
      <c r="B45" s="1"/>
      <c r="C45" s="1"/>
      <c r="D45" s="1"/>
      <c r="E45" s="1"/>
      <c r="F45" s="1"/>
      <c r="G45" s="10"/>
      <c r="H45" s="18"/>
      <c r="I45" s="1"/>
      <c r="J45" s="1"/>
    </row>
    <row r="46" spans="1:10" x14ac:dyDescent="0.2">
      <c r="A46" s="9"/>
      <c r="B46" s="1"/>
      <c r="C46" s="1"/>
      <c r="D46" s="1"/>
      <c r="E46" s="1"/>
      <c r="F46" s="1"/>
      <c r="G46" s="10"/>
      <c r="H46" s="18"/>
      <c r="I46" s="1"/>
      <c r="J46" s="1"/>
    </row>
    <row r="47" spans="1:10" x14ac:dyDescent="0.2">
      <c r="A47" s="14"/>
      <c r="B47" s="1" t="s">
        <v>135</v>
      </c>
      <c r="C47" s="1" t="s">
        <v>3</v>
      </c>
      <c r="D47" s="1" t="s">
        <v>214</v>
      </c>
      <c r="E47" s="1" t="s">
        <v>189</v>
      </c>
      <c r="F47" s="1">
        <v>43</v>
      </c>
      <c r="G47" s="10">
        <v>484</v>
      </c>
      <c r="H47" s="19">
        <v>42339</v>
      </c>
      <c r="I47" s="1" t="s">
        <v>4</v>
      </c>
      <c r="J47" s="1" t="s">
        <v>25</v>
      </c>
    </row>
    <row r="48" spans="1:10" x14ac:dyDescent="0.2">
      <c r="A48" s="14"/>
      <c r="B48" s="1" t="s">
        <v>136</v>
      </c>
      <c r="C48" s="1" t="s">
        <v>12</v>
      </c>
      <c r="D48" s="1" t="s">
        <v>88</v>
      </c>
      <c r="E48" s="1" t="s">
        <v>189</v>
      </c>
      <c r="F48" s="1">
        <v>35</v>
      </c>
      <c r="G48" s="10">
        <v>345</v>
      </c>
      <c r="H48" s="18" t="s">
        <v>13</v>
      </c>
      <c r="I48" s="1" t="s">
        <v>14</v>
      </c>
      <c r="J48" s="1" t="s">
        <v>35</v>
      </c>
    </row>
    <row r="49" spans="1:10" x14ac:dyDescent="0.2">
      <c r="A49" s="14"/>
      <c r="B49" s="1" t="s">
        <v>137</v>
      </c>
      <c r="C49" s="1" t="s">
        <v>15</v>
      </c>
      <c r="D49" s="1" t="s">
        <v>149</v>
      </c>
      <c r="E49" s="1" t="s">
        <v>189</v>
      </c>
      <c r="F49" s="1">
        <v>26</v>
      </c>
      <c r="G49" s="10">
        <v>190</v>
      </c>
      <c r="H49" s="18">
        <v>2016</v>
      </c>
      <c r="I49" s="1" t="s">
        <v>16</v>
      </c>
      <c r="J49" s="1" t="s">
        <v>38</v>
      </c>
    </row>
    <row r="50" spans="1:10" s="5" customFormat="1" ht="32" x14ac:dyDescent="0.2">
      <c r="A50" s="14"/>
      <c r="B50" s="1" t="s">
        <v>129</v>
      </c>
      <c r="C50" s="1" t="s">
        <v>129</v>
      </c>
      <c r="D50" s="1" t="s">
        <v>128</v>
      </c>
      <c r="E50" s="1" t="s">
        <v>189</v>
      </c>
      <c r="F50" s="1">
        <v>29</v>
      </c>
      <c r="G50" s="10">
        <v>716</v>
      </c>
      <c r="H50" s="18" t="s">
        <v>76</v>
      </c>
      <c r="I50" s="1" t="s">
        <v>130</v>
      </c>
      <c r="J50" s="1" t="s">
        <v>127</v>
      </c>
    </row>
    <row r="51" spans="1:10" s="24" customFormat="1" x14ac:dyDescent="0.2">
      <c r="A51" s="14"/>
      <c r="B51" s="1" t="s">
        <v>146</v>
      </c>
      <c r="C51" s="1" t="s">
        <v>147</v>
      </c>
      <c r="D51" s="1"/>
      <c r="E51" s="1" t="s">
        <v>189</v>
      </c>
      <c r="F51" s="1">
        <v>12</v>
      </c>
      <c r="G51" s="10">
        <v>23</v>
      </c>
      <c r="H51" s="18" t="s">
        <v>148</v>
      </c>
      <c r="I51" s="1" t="s">
        <v>110</v>
      </c>
      <c r="J51" s="1"/>
    </row>
    <row r="52" spans="1:10" ht="32" x14ac:dyDescent="0.2">
      <c r="A52" s="14"/>
      <c r="B52" s="1" t="s">
        <v>109</v>
      </c>
      <c r="C52" s="1" t="s">
        <v>108</v>
      </c>
      <c r="D52" s="1" t="s">
        <v>111</v>
      </c>
      <c r="E52" s="1" t="s">
        <v>189</v>
      </c>
      <c r="F52" s="1">
        <v>19</v>
      </c>
      <c r="G52" s="10">
        <v>1706</v>
      </c>
      <c r="H52" s="18" t="s">
        <v>11</v>
      </c>
      <c r="I52" s="1" t="s">
        <v>110</v>
      </c>
      <c r="J52" s="1" t="s">
        <v>107</v>
      </c>
    </row>
    <row r="53" spans="1:10" x14ac:dyDescent="0.2">
      <c r="A53" s="14"/>
      <c r="B53" s="1"/>
      <c r="C53" s="1"/>
      <c r="D53" s="1"/>
      <c r="E53" s="1"/>
      <c r="F53" s="12" t="s">
        <v>82</v>
      </c>
      <c r="G53" s="13">
        <f>SUM(G47:G52)</f>
        <v>3464</v>
      </c>
      <c r="H53" s="18"/>
      <c r="I53" s="1"/>
      <c r="J53" s="1"/>
    </row>
    <row r="54" spans="1:10" x14ac:dyDescent="0.2">
      <c r="A54" s="15"/>
      <c r="H54" s="20"/>
    </row>
    <row r="55" spans="1:10" ht="48" x14ac:dyDescent="0.2">
      <c r="C55" s="24"/>
      <c r="F55" s="21" t="s">
        <v>89</v>
      </c>
      <c r="G55" s="16">
        <f>G53+G44+G35</f>
        <v>20572</v>
      </c>
      <c r="H55" s="20"/>
      <c r="J55" s="3">
        <f>12105+8179</f>
        <v>20284</v>
      </c>
    </row>
    <row r="61" spans="1:10" ht="48" x14ac:dyDescent="0.2">
      <c r="A61" s="8" t="s">
        <v>27</v>
      </c>
    </row>
    <row r="62" spans="1:10" x14ac:dyDescent="0.2">
      <c r="A62" s="8"/>
      <c r="B62" s="3" t="s">
        <v>7</v>
      </c>
      <c r="C62" s="3" t="s">
        <v>8</v>
      </c>
      <c r="D62" s="3" t="s">
        <v>37</v>
      </c>
      <c r="G62" s="4">
        <v>75</v>
      </c>
      <c r="H62" s="17" t="s">
        <v>9</v>
      </c>
      <c r="I62" s="3" t="s">
        <v>10</v>
      </c>
      <c r="J62" s="3" t="s">
        <v>36</v>
      </c>
    </row>
    <row r="63" spans="1:10" x14ac:dyDescent="0.2">
      <c r="A63" s="8"/>
      <c r="B63" s="3" t="s">
        <v>17</v>
      </c>
      <c r="C63" s="3" t="s">
        <v>18</v>
      </c>
      <c r="D63" s="3" t="s">
        <v>37</v>
      </c>
      <c r="F63" s="3">
        <v>12</v>
      </c>
      <c r="G63" s="4">
        <v>60</v>
      </c>
      <c r="H63" s="17" t="s">
        <v>9</v>
      </c>
      <c r="I63" s="3" t="s">
        <v>19</v>
      </c>
      <c r="J63" s="3" t="s">
        <v>25</v>
      </c>
    </row>
    <row r="67" spans="6:10" x14ac:dyDescent="0.2">
      <c r="H67" s="3">
        <f>8179+12105</f>
        <v>20284</v>
      </c>
    </row>
    <row r="68" spans="6:10" x14ac:dyDescent="0.2">
      <c r="J68" s="3" t="s">
        <v>173</v>
      </c>
    </row>
    <row r="70" spans="6:10" ht="32" x14ac:dyDescent="0.2">
      <c r="F70" s="4" t="s">
        <v>171</v>
      </c>
      <c r="G70" s="4" t="s">
        <v>172</v>
      </c>
      <c r="H70" s="4">
        <v>1136172</v>
      </c>
      <c r="J70" s="4">
        <v>1136172</v>
      </c>
    </row>
    <row r="71" spans="6:10" ht="32" x14ac:dyDescent="0.2">
      <c r="F71" s="4" t="s">
        <v>170</v>
      </c>
      <c r="G71" s="4" t="s">
        <v>172</v>
      </c>
      <c r="H71" s="4">
        <v>1191184</v>
      </c>
      <c r="J71" s="4">
        <v>1191184</v>
      </c>
    </row>
    <row r="72" spans="6:10" x14ac:dyDescent="0.2">
      <c r="H72" s="27">
        <f>H71/H70-1</f>
        <v>4.8418725333840396E-2</v>
      </c>
      <c r="J72" s="27">
        <f>J71/J70-1</f>
        <v>4.8418725333840396E-2</v>
      </c>
    </row>
    <row r="73" spans="6:10" x14ac:dyDescent="0.2">
      <c r="H73" s="4"/>
      <c r="J73" s="4">
        <f>J71-J70</f>
        <v>55012</v>
      </c>
    </row>
    <row r="74" spans="6:10" x14ac:dyDescent="0.2">
      <c r="H74" s="4"/>
    </row>
    <row r="84" spans="7:7" x14ac:dyDescent="0.2">
      <c r="G84" s="4">
        <f>7*30*2</f>
        <v>420</v>
      </c>
    </row>
  </sheetData>
  <sortState ref="A8:J33">
    <sortCondition ref="E8:E33"/>
  </sortState>
  <mergeCells count="1">
    <mergeCell ref="A2:G2"/>
  </mergeCells>
  <phoneticPr fontId="10" type="noConversion"/>
  <printOptions horizontalCentered="1"/>
  <pageMargins left="0.36000000000000004" right="0.36000000000000004" top="0.41314960629921266" bottom="0.60314960629921266" header="0.30000000000000004" footer="0.30314960629921262"/>
  <pageSetup paperSize="9" scale="39" orientation="landscape" horizontalDpi="4294967292" verticalDpi="4294967292"/>
  <headerFooter>
    <oddFooter>Prepared by Andrew Wood &amp;D&amp;RPage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showGridLines="0" workbookViewId="0">
      <selection activeCell="C35" sqref="C35"/>
    </sheetView>
  </sheetViews>
  <sheetFormatPr baseColWidth="10" defaultRowHeight="16" x14ac:dyDescent="0.2"/>
  <cols>
    <col min="1" max="1" width="22.5" customWidth="1"/>
    <col min="2" max="2" width="27.1640625" style="60" bestFit="1" customWidth="1"/>
    <col min="3" max="3" width="15.1640625" style="60" bestFit="1" customWidth="1"/>
    <col min="4" max="4" width="23.6640625" style="60" bestFit="1" customWidth="1"/>
    <col min="5" max="5" width="13.6640625" style="60" bestFit="1" customWidth="1"/>
  </cols>
  <sheetData>
    <row r="1" spans="1:5" x14ac:dyDescent="0.2">
      <c r="A1" s="573" t="s">
        <v>431</v>
      </c>
      <c r="B1" t="s">
        <v>2050</v>
      </c>
    </row>
    <row r="3" spans="1:5" x14ac:dyDescent="0.2">
      <c r="A3" s="573" t="s">
        <v>2045</v>
      </c>
      <c r="B3" s="60" t="s">
        <v>2047</v>
      </c>
      <c r="C3" t="s">
        <v>2049</v>
      </c>
      <c r="D3" s="60" t="s">
        <v>2044</v>
      </c>
      <c r="E3"/>
    </row>
    <row r="4" spans="1:5" x14ac:dyDescent="0.2">
      <c r="A4" s="65" t="s">
        <v>24</v>
      </c>
      <c r="B4" s="60">
        <v>22351.5</v>
      </c>
      <c r="C4" s="60">
        <v>44871</v>
      </c>
      <c r="D4" s="60">
        <v>28</v>
      </c>
      <c r="E4"/>
    </row>
    <row r="5" spans="1:5" x14ac:dyDescent="0.2">
      <c r="A5" s="574" t="s">
        <v>1943</v>
      </c>
      <c r="B5" s="60">
        <v>2500</v>
      </c>
      <c r="C5" s="60">
        <v>5000</v>
      </c>
      <c r="D5" s="60">
        <v>3</v>
      </c>
      <c r="E5"/>
    </row>
    <row r="6" spans="1:5" x14ac:dyDescent="0.2">
      <c r="A6" s="574" t="s">
        <v>196</v>
      </c>
      <c r="B6" s="60">
        <v>5824.5</v>
      </c>
      <c r="C6" s="60">
        <v>11649</v>
      </c>
      <c r="D6" s="60">
        <v>13</v>
      </c>
      <c r="E6"/>
    </row>
    <row r="7" spans="1:5" x14ac:dyDescent="0.2">
      <c r="A7" s="574" t="s">
        <v>96</v>
      </c>
      <c r="B7" s="60">
        <v>4654</v>
      </c>
      <c r="C7" s="60">
        <v>9308</v>
      </c>
      <c r="D7" s="60">
        <v>8</v>
      </c>
      <c r="E7"/>
    </row>
    <row r="8" spans="1:5" x14ac:dyDescent="0.2">
      <c r="A8" s="574" t="s">
        <v>1942</v>
      </c>
      <c r="B8" s="60">
        <v>3207</v>
      </c>
      <c r="C8" s="60">
        <v>6414</v>
      </c>
      <c r="D8" s="60">
        <v>3</v>
      </c>
      <c r="E8"/>
    </row>
    <row r="9" spans="1:5" x14ac:dyDescent="0.2">
      <c r="A9" s="574" t="s">
        <v>2053</v>
      </c>
      <c r="B9" s="60">
        <v>6166</v>
      </c>
      <c r="C9" s="60">
        <v>12500</v>
      </c>
      <c r="D9" s="60">
        <v>1</v>
      </c>
      <c r="E9"/>
    </row>
    <row r="10" spans="1:5" x14ac:dyDescent="0.2">
      <c r="A10" s="65" t="s">
        <v>200</v>
      </c>
      <c r="B10" s="60">
        <v>22186</v>
      </c>
      <c r="C10" s="60">
        <v>45449</v>
      </c>
      <c r="D10" s="60">
        <v>22</v>
      </c>
      <c r="E10"/>
    </row>
    <row r="11" spans="1:5" x14ac:dyDescent="0.2">
      <c r="A11" s="574" t="s">
        <v>1948</v>
      </c>
      <c r="B11" s="60">
        <v>1223</v>
      </c>
      <c r="C11" s="60">
        <v>2446</v>
      </c>
      <c r="D11" s="60">
        <v>3</v>
      </c>
      <c r="E11"/>
    </row>
    <row r="12" spans="1:5" x14ac:dyDescent="0.2">
      <c r="A12" s="574" t="s">
        <v>1947</v>
      </c>
      <c r="B12" s="60">
        <v>2848</v>
      </c>
      <c r="C12" s="60">
        <v>5696</v>
      </c>
      <c r="D12" s="60">
        <v>3</v>
      </c>
      <c r="E12"/>
    </row>
    <row r="13" spans="1:5" x14ac:dyDescent="0.2">
      <c r="A13" s="574" t="s">
        <v>181</v>
      </c>
      <c r="B13" s="60">
        <v>2186</v>
      </c>
      <c r="C13" s="60">
        <v>4372</v>
      </c>
      <c r="D13" s="60">
        <v>5</v>
      </c>
      <c r="E13"/>
    </row>
    <row r="14" spans="1:5" x14ac:dyDescent="0.2">
      <c r="A14" s="574" t="s">
        <v>1946</v>
      </c>
      <c r="B14" s="60">
        <v>4108</v>
      </c>
      <c r="C14" s="60">
        <v>8216</v>
      </c>
      <c r="D14" s="60">
        <v>3</v>
      </c>
      <c r="E14"/>
    </row>
    <row r="15" spans="1:5" x14ac:dyDescent="0.2">
      <c r="A15" s="574" t="s">
        <v>196</v>
      </c>
      <c r="B15" s="60">
        <v>1380</v>
      </c>
      <c r="C15" s="60">
        <v>2760</v>
      </c>
      <c r="D15" s="60">
        <v>4</v>
      </c>
      <c r="E15"/>
    </row>
    <row r="16" spans="1:5" x14ac:dyDescent="0.2">
      <c r="A16" s="574" t="s">
        <v>1945</v>
      </c>
      <c r="B16" s="60">
        <v>4214</v>
      </c>
      <c r="C16" s="60">
        <v>8428</v>
      </c>
      <c r="D16" s="60">
        <v>3</v>
      </c>
      <c r="E16"/>
    </row>
    <row r="17" spans="1:5" x14ac:dyDescent="0.2">
      <c r="A17" s="574" t="s">
        <v>2053</v>
      </c>
      <c r="B17" s="60">
        <v>6227</v>
      </c>
      <c r="C17" s="60">
        <v>13531</v>
      </c>
      <c r="D17" s="60">
        <v>1</v>
      </c>
      <c r="E17"/>
    </row>
    <row r="18" spans="1:5" x14ac:dyDescent="0.2">
      <c r="A18" s="65" t="s">
        <v>199</v>
      </c>
      <c r="B18" s="60">
        <v>6850</v>
      </c>
      <c r="C18" s="60">
        <v>15458</v>
      </c>
      <c r="D18" s="60">
        <v>7</v>
      </c>
      <c r="E18"/>
    </row>
    <row r="19" spans="1:5" x14ac:dyDescent="0.2">
      <c r="A19" s="574" t="s">
        <v>1946</v>
      </c>
      <c r="B19" s="60">
        <v>127</v>
      </c>
      <c r="C19" s="60">
        <v>254</v>
      </c>
      <c r="D19" s="60">
        <v>3</v>
      </c>
      <c r="E19"/>
    </row>
    <row r="20" spans="1:5" x14ac:dyDescent="0.2">
      <c r="A20" s="574" t="s">
        <v>1942</v>
      </c>
      <c r="B20" s="60">
        <v>492</v>
      </c>
      <c r="C20" s="60">
        <v>984</v>
      </c>
      <c r="D20" s="60">
        <v>3</v>
      </c>
      <c r="E20"/>
    </row>
    <row r="21" spans="1:5" x14ac:dyDescent="0.2">
      <c r="A21" s="574" t="s">
        <v>2053</v>
      </c>
      <c r="B21" s="60">
        <v>6231</v>
      </c>
      <c r="C21" s="60">
        <v>14220</v>
      </c>
      <c r="D21" s="60">
        <v>1</v>
      </c>
      <c r="E21"/>
    </row>
    <row r="22" spans="1:5" x14ac:dyDescent="0.2">
      <c r="A22" s="65" t="s">
        <v>1534</v>
      </c>
      <c r="B22" s="60">
        <v>4459</v>
      </c>
      <c r="C22" s="60">
        <v>10985</v>
      </c>
      <c r="D22" s="60">
        <v>5</v>
      </c>
      <c r="E22"/>
    </row>
    <row r="23" spans="1:5" x14ac:dyDescent="0.2">
      <c r="A23" s="574" t="s">
        <v>1955</v>
      </c>
      <c r="B23" s="60">
        <v>100</v>
      </c>
      <c r="C23" s="60">
        <v>200</v>
      </c>
      <c r="D23" s="60">
        <v>1</v>
      </c>
      <c r="E23"/>
    </row>
    <row r="24" spans="1:5" x14ac:dyDescent="0.2">
      <c r="A24" s="574" t="s">
        <v>1945</v>
      </c>
      <c r="B24" s="60">
        <v>1715</v>
      </c>
      <c r="C24" s="60">
        <v>3430</v>
      </c>
      <c r="D24" s="60">
        <v>2</v>
      </c>
      <c r="E24"/>
    </row>
    <row r="25" spans="1:5" x14ac:dyDescent="0.2">
      <c r="A25" s="574" t="s">
        <v>1942</v>
      </c>
      <c r="B25" s="60">
        <v>199</v>
      </c>
      <c r="C25" s="60">
        <v>398</v>
      </c>
      <c r="D25" s="60">
        <v>1</v>
      </c>
      <c r="E25"/>
    </row>
    <row r="26" spans="1:5" x14ac:dyDescent="0.2">
      <c r="A26" s="574" t="s">
        <v>2053</v>
      </c>
      <c r="B26" s="60">
        <v>2445</v>
      </c>
      <c r="C26" s="60">
        <v>6957</v>
      </c>
      <c r="D26" s="60">
        <v>1</v>
      </c>
      <c r="E26"/>
    </row>
    <row r="27" spans="1:5" x14ac:dyDescent="0.2">
      <c r="A27" s="65" t="s">
        <v>2046</v>
      </c>
      <c r="B27" s="60">
        <v>55846.5</v>
      </c>
      <c r="C27" s="60">
        <v>116763</v>
      </c>
      <c r="D27" s="60">
        <v>62</v>
      </c>
      <c r="E27"/>
    </row>
    <row r="28" spans="1:5" x14ac:dyDescent="0.2">
      <c r="B28"/>
      <c r="C28"/>
      <c r="D28"/>
    </row>
    <row r="29" spans="1:5" x14ac:dyDescent="0.2">
      <c r="B29"/>
      <c r="C29"/>
      <c r="D29"/>
    </row>
    <row r="30" spans="1:5" x14ac:dyDescent="0.2">
      <c r="B30"/>
      <c r="C30"/>
      <c r="D30"/>
    </row>
    <row r="31" spans="1:5" x14ac:dyDescent="0.2">
      <c r="B31"/>
      <c r="C31"/>
      <c r="D31"/>
    </row>
    <row r="32" spans="1:5" x14ac:dyDescent="0.2">
      <c r="B32"/>
      <c r="C32"/>
      <c r="D32"/>
    </row>
    <row r="33" spans="2:4" x14ac:dyDescent="0.2">
      <c r="B33"/>
      <c r="C33"/>
      <c r="D33"/>
    </row>
    <row r="34" spans="2:4" x14ac:dyDescent="0.2">
      <c r="B34"/>
      <c r="C34"/>
      <c r="D34"/>
    </row>
    <row r="35" spans="2:4" x14ac:dyDescent="0.2">
      <c r="B35"/>
      <c r="C35"/>
      <c r="D35"/>
    </row>
    <row r="36" spans="2:4" x14ac:dyDescent="0.2">
      <c r="B36"/>
      <c r="C36"/>
      <c r="D36"/>
    </row>
    <row r="37" spans="2:4" x14ac:dyDescent="0.2">
      <c r="B37"/>
      <c r="C37"/>
      <c r="D37"/>
    </row>
    <row r="38" spans="2:4" x14ac:dyDescent="0.2">
      <c r="B38"/>
      <c r="C38"/>
      <c r="D38"/>
    </row>
    <row r="39" spans="2:4" x14ac:dyDescent="0.2">
      <c r="B39"/>
      <c r="C39"/>
      <c r="D39"/>
    </row>
    <row r="40" spans="2:4" x14ac:dyDescent="0.2">
      <c r="B40"/>
      <c r="C40"/>
      <c r="D40"/>
    </row>
    <row r="41" spans="2:4" x14ac:dyDescent="0.2">
      <c r="B41"/>
      <c r="C41"/>
      <c r="D41"/>
    </row>
    <row r="42" spans="2:4" x14ac:dyDescent="0.2">
      <c r="B42"/>
      <c r="C42"/>
      <c r="D42"/>
    </row>
    <row r="43" spans="2:4" x14ac:dyDescent="0.2">
      <c r="B43"/>
      <c r="C43"/>
      <c r="D43"/>
    </row>
    <row r="44" spans="2:4" x14ac:dyDescent="0.2">
      <c r="B44"/>
      <c r="C44"/>
      <c r="D44"/>
    </row>
    <row r="45" spans="2:4" x14ac:dyDescent="0.2">
      <c r="B45"/>
      <c r="C45"/>
      <c r="D45"/>
    </row>
    <row r="46" spans="2:4" x14ac:dyDescent="0.2">
      <c r="B46"/>
      <c r="C46"/>
      <c r="D46"/>
    </row>
    <row r="47" spans="2:4" x14ac:dyDescent="0.2">
      <c r="B47"/>
      <c r="C47"/>
      <c r="D47"/>
    </row>
    <row r="48" spans="2:4" x14ac:dyDescent="0.2">
      <c r="B48"/>
      <c r="C48"/>
      <c r="D48"/>
    </row>
    <row r="49" spans="2:4" x14ac:dyDescent="0.2">
      <c r="B49"/>
      <c r="C49"/>
      <c r="D49"/>
    </row>
    <row r="50" spans="2:4" x14ac:dyDescent="0.2">
      <c r="B50"/>
      <c r="C50"/>
      <c r="D50"/>
    </row>
    <row r="51" spans="2:4" x14ac:dyDescent="0.2">
      <c r="B51"/>
      <c r="C51"/>
      <c r="D51"/>
    </row>
    <row r="52" spans="2:4" x14ac:dyDescent="0.2">
      <c r="B52"/>
      <c r="C52"/>
      <c r="D52"/>
    </row>
    <row r="53" spans="2:4" x14ac:dyDescent="0.2">
      <c r="B53"/>
      <c r="C53"/>
      <c r="D53"/>
    </row>
    <row r="54" spans="2:4" x14ac:dyDescent="0.2">
      <c r="B54"/>
      <c r="C54"/>
      <c r="D54"/>
    </row>
    <row r="55" spans="2:4" x14ac:dyDescent="0.2">
      <c r="B55"/>
      <c r="C55"/>
      <c r="D55"/>
    </row>
    <row r="56" spans="2:4" x14ac:dyDescent="0.2">
      <c r="B56"/>
      <c r="C56"/>
      <c r="D56"/>
    </row>
    <row r="57" spans="2:4" x14ac:dyDescent="0.2">
      <c r="B57"/>
      <c r="C57"/>
      <c r="D57"/>
    </row>
    <row r="58" spans="2:4" x14ac:dyDescent="0.2">
      <c r="B58"/>
      <c r="C58"/>
      <c r="D58"/>
    </row>
    <row r="59" spans="2:4" x14ac:dyDescent="0.2">
      <c r="B59"/>
      <c r="C59"/>
      <c r="D59"/>
    </row>
    <row r="60" spans="2:4" x14ac:dyDescent="0.2">
      <c r="B60"/>
      <c r="C60"/>
      <c r="D60"/>
    </row>
    <row r="61" spans="2:4" x14ac:dyDescent="0.2">
      <c r="B61"/>
      <c r="C61"/>
      <c r="D61"/>
    </row>
    <row r="62" spans="2:4" x14ac:dyDescent="0.2">
      <c r="B62"/>
      <c r="C62"/>
      <c r="D62"/>
    </row>
    <row r="63" spans="2:4" x14ac:dyDescent="0.2">
      <c r="B63"/>
      <c r="C63"/>
      <c r="D63"/>
    </row>
    <row r="64" spans="2:4" x14ac:dyDescent="0.2">
      <c r="B64"/>
      <c r="C64"/>
      <c r="D64"/>
    </row>
    <row r="65" spans="2:4" x14ac:dyDescent="0.2">
      <c r="B65"/>
      <c r="C65"/>
      <c r="D65"/>
    </row>
    <row r="66" spans="2:4" x14ac:dyDescent="0.2">
      <c r="B66"/>
      <c r="C66"/>
      <c r="D66"/>
    </row>
    <row r="67" spans="2:4" x14ac:dyDescent="0.2">
      <c r="B67"/>
      <c r="C67"/>
      <c r="D67"/>
    </row>
    <row r="68" spans="2:4" x14ac:dyDescent="0.2">
      <c r="B68"/>
      <c r="C68"/>
      <c r="D68"/>
    </row>
    <row r="69" spans="2:4" x14ac:dyDescent="0.2">
      <c r="B69"/>
      <c r="C69"/>
      <c r="D69"/>
    </row>
    <row r="70" spans="2:4" x14ac:dyDescent="0.2">
      <c r="B70"/>
      <c r="C70"/>
      <c r="D70"/>
    </row>
    <row r="71" spans="2:4" x14ac:dyDescent="0.2">
      <c r="B71"/>
      <c r="C71"/>
      <c r="D71"/>
    </row>
    <row r="72" spans="2:4" x14ac:dyDescent="0.2">
      <c r="B72"/>
      <c r="C72"/>
      <c r="D72"/>
    </row>
    <row r="73" spans="2:4" x14ac:dyDescent="0.2">
      <c r="B73"/>
      <c r="C73"/>
      <c r="D73"/>
    </row>
  </sheetData>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T73"/>
  <sheetViews>
    <sheetView showGridLines="0" workbookViewId="0">
      <selection activeCell="V28" sqref="V28"/>
    </sheetView>
  </sheetViews>
  <sheetFormatPr baseColWidth="10" defaultRowHeight="16" x14ac:dyDescent="0.2"/>
  <cols>
    <col min="1" max="1" width="24" customWidth="1"/>
    <col min="2" max="2" width="15.5" style="60" customWidth="1"/>
    <col min="3" max="5" width="5.1640625" style="60" customWidth="1"/>
    <col min="6" max="14" width="5.1640625" customWidth="1"/>
    <col min="15" max="15" width="5.6640625" customWidth="1"/>
    <col min="16" max="17" width="5.1640625" customWidth="1"/>
    <col min="18" max="18" width="5.6640625" customWidth="1"/>
    <col min="19" max="19" width="6.6640625" customWidth="1"/>
    <col min="20" max="21" width="10.6640625" customWidth="1"/>
    <col min="22" max="22" width="22.83203125" customWidth="1"/>
    <col min="23" max="23" width="13" customWidth="1"/>
    <col min="24" max="24" width="22.83203125" customWidth="1"/>
    <col min="25" max="25" width="13" customWidth="1"/>
    <col min="26" max="26" width="22.83203125" customWidth="1"/>
    <col min="27" max="27" width="13" customWidth="1"/>
    <col min="28" max="28" width="22.83203125" customWidth="1"/>
    <col min="29" max="29" width="13" customWidth="1"/>
    <col min="30" max="30" width="22.83203125" customWidth="1"/>
    <col min="31" max="31" width="13" customWidth="1"/>
    <col min="32" max="32" width="22.83203125" customWidth="1"/>
    <col min="33" max="33" width="13" customWidth="1"/>
    <col min="34" max="34" width="22.83203125" customWidth="1"/>
    <col min="35" max="35" width="13" customWidth="1"/>
    <col min="36" max="36" width="22.83203125" customWidth="1"/>
    <col min="37" max="37" width="13" customWidth="1"/>
    <col min="38" max="38" width="22.83203125" customWidth="1"/>
    <col min="39" max="39" width="13" customWidth="1"/>
    <col min="40" max="40" width="27.33203125" customWidth="1"/>
    <col min="41" max="41" width="17.6640625" customWidth="1"/>
    <col min="42" max="42" width="22.83203125" customWidth="1"/>
    <col min="43" max="43" width="26.1640625" bestFit="1" customWidth="1"/>
    <col min="44" max="44" width="27.1640625" bestFit="1" customWidth="1"/>
    <col min="45" max="45" width="22.83203125" customWidth="1"/>
    <col min="46" max="46" width="26.1640625" bestFit="1" customWidth="1"/>
    <col min="47" max="47" width="27.1640625" bestFit="1" customWidth="1"/>
    <col min="48" max="48" width="22.83203125" customWidth="1"/>
    <col min="49" max="49" width="26.1640625" bestFit="1" customWidth="1"/>
    <col min="50" max="50" width="27.1640625" bestFit="1" customWidth="1"/>
    <col min="51" max="51" width="22.83203125" customWidth="1"/>
    <col min="52" max="52" width="26.1640625" bestFit="1" customWidth="1"/>
    <col min="53" max="53" width="27.1640625" bestFit="1" customWidth="1"/>
    <col min="54" max="54" width="22.83203125" customWidth="1"/>
    <col min="55" max="55" width="26.1640625" bestFit="1" customWidth="1"/>
    <col min="56" max="56" width="27.1640625" bestFit="1" customWidth="1"/>
    <col min="57" max="57" width="22.83203125" customWidth="1"/>
    <col min="58" max="58" width="26.1640625" bestFit="1" customWidth="1"/>
    <col min="59" max="59" width="31.83203125" bestFit="1" customWidth="1"/>
    <col min="60" max="60" width="27.33203125" customWidth="1"/>
    <col min="61" max="61" width="30.6640625" bestFit="1" customWidth="1"/>
  </cols>
  <sheetData>
    <row r="1" spans="1:20" x14ac:dyDescent="0.2">
      <c r="A1" s="32" t="s">
        <v>2071</v>
      </c>
      <c r="B1"/>
    </row>
    <row r="3" spans="1:20" x14ac:dyDescent="0.2">
      <c r="A3" s="573" t="s">
        <v>2069</v>
      </c>
      <c r="B3" s="573" t="s">
        <v>2057</v>
      </c>
      <c r="C3"/>
      <c r="D3"/>
      <c r="E3"/>
    </row>
    <row r="4" spans="1:20" x14ac:dyDescent="0.2">
      <c r="A4" s="573" t="s">
        <v>2045</v>
      </c>
      <c r="B4">
        <v>2011</v>
      </c>
      <c r="C4">
        <v>2014</v>
      </c>
      <c r="D4">
        <v>2015</v>
      </c>
      <c r="E4">
        <v>2016</v>
      </c>
      <c r="F4">
        <v>2017</v>
      </c>
      <c r="G4">
        <v>2018</v>
      </c>
      <c r="H4">
        <v>2019</v>
      </c>
      <c r="I4">
        <v>2020</v>
      </c>
      <c r="J4">
        <v>2021</v>
      </c>
      <c r="K4">
        <v>2022</v>
      </c>
      <c r="L4">
        <v>2023</v>
      </c>
      <c r="M4">
        <v>2024</v>
      </c>
      <c r="N4">
        <v>2025</v>
      </c>
      <c r="O4">
        <v>2026</v>
      </c>
      <c r="P4">
        <v>2028</v>
      </c>
      <c r="Q4">
        <v>2030</v>
      </c>
      <c r="R4">
        <v>2031</v>
      </c>
      <c r="S4" t="s">
        <v>2058</v>
      </c>
      <c r="T4" t="s">
        <v>2046</v>
      </c>
    </row>
    <row r="5" spans="1:20" x14ac:dyDescent="0.2">
      <c r="A5" s="65" t="s">
        <v>387</v>
      </c>
      <c r="B5" s="60">
        <v>8637.5149999999994</v>
      </c>
      <c r="C5" s="60">
        <v>15.120000000000001</v>
      </c>
      <c r="E5" s="60">
        <v>385.88</v>
      </c>
      <c r="F5" s="60"/>
      <c r="G5" s="60"/>
      <c r="H5" s="60"/>
      <c r="I5" s="60"/>
      <c r="J5" s="60"/>
      <c r="K5" s="60"/>
      <c r="L5" s="60"/>
      <c r="M5" s="60"/>
      <c r="N5" s="60"/>
      <c r="O5" s="60"/>
      <c r="P5" s="60"/>
      <c r="Q5" s="60"/>
      <c r="R5" s="60"/>
      <c r="S5" s="60"/>
      <c r="T5" s="60">
        <v>9038.5149999999994</v>
      </c>
    </row>
    <row r="6" spans="1:20" x14ac:dyDescent="0.2">
      <c r="A6" s="574" t="s">
        <v>24</v>
      </c>
      <c r="B6" s="60">
        <v>2293.5149999999999</v>
      </c>
      <c r="C6" s="60">
        <v>15.120000000000001</v>
      </c>
      <c r="E6" s="60">
        <v>168</v>
      </c>
      <c r="F6" s="60"/>
      <c r="G6" s="60"/>
      <c r="H6" s="60"/>
      <c r="I6" s="60"/>
      <c r="J6" s="60"/>
      <c r="K6" s="60"/>
      <c r="L6" s="60"/>
      <c r="M6" s="60"/>
      <c r="N6" s="60"/>
      <c r="O6" s="60"/>
      <c r="P6" s="60"/>
      <c r="Q6" s="60"/>
      <c r="R6" s="60"/>
      <c r="S6" s="60"/>
      <c r="T6" s="60">
        <v>2476.6349999999998</v>
      </c>
    </row>
    <row r="7" spans="1:20" x14ac:dyDescent="0.2">
      <c r="A7" s="574" t="s">
        <v>200</v>
      </c>
      <c r="B7" s="60">
        <v>2256</v>
      </c>
      <c r="E7" s="60">
        <v>153.89000000000001</v>
      </c>
      <c r="F7" s="60"/>
      <c r="G7" s="60"/>
      <c r="H7" s="60"/>
      <c r="I7" s="60"/>
      <c r="J7" s="60"/>
      <c r="K7" s="60"/>
      <c r="L7" s="60"/>
      <c r="M7" s="60"/>
      <c r="N7" s="60"/>
      <c r="O7" s="60"/>
      <c r="P7" s="60"/>
      <c r="Q7" s="60"/>
      <c r="R7" s="60"/>
      <c r="S7" s="60"/>
      <c r="T7" s="60">
        <v>2409.89</v>
      </c>
    </row>
    <row r="8" spans="1:20" x14ac:dyDescent="0.2">
      <c r="A8" s="574" t="s">
        <v>199</v>
      </c>
      <c r="B8" s="60">
        <v>2291</v>
      </c>
      <c r="E8" s="60">
        <v>36.99</v>
      </c>
      <c r="F8" s="60"/>
      <c r="G8" s="60"/>
      <c r="H8" s="60"/>
      <c r="I8" s="60"/>
      <c r="J8" s="60"/>
      <c r="K8" s="60"/>
      <c r="L8" s="60"/>
      <c r="M8" s="60"/>
      <c r="N8" s="60"/>
      <c r="O8" s="60"/>
      <c r="P8" s="60"/>
      <c r="Q8" s="60"/>
      <c r="R8" s="60"/>
      <c r="S8" s="60"/>
      <c r="T8" s="60">
        <v>2327.9899999999998</v>
      </c>
    </row>
    <row r="9" spans="1:20" x14ac:dyDescent="0.2">
      <c r="A9" s="574" t="s">
        <v>1534</v>
      </c>
      <c r="B9" s="60">
        <v>1797</v>
      </c>
      <c r="E9" s="60">
        <v>27</v>
      </c>
      <c r="F9" s="60"/>
      <c r="G9" s="60"/>
      <c r="H9" s="60"/>
      <c r="I9" s="60"/>
      <c r="J9" s="60"/>
      <c r="K9" s="60"/>
      <c r="L9" s="60"/>
      <c r="M9" s="60"/>
      <c r="N9" s="60"/>
      <c r="O9" s="60"/>
      <c r="P9" s="60"/>
      <c r="Q9" s="60"/>
      <c r="R9" s="60"/>
      <c r="S9" s="60"/>
      <c r="T9" s="60">
        <v>1824</v>
      </c>
    </row>
    <row r="10" spans="1:20" x14ac:dyDescent="0.2">
      <c r="A10" s="65" t="s">
        <v>1121</v>
      </c>
      <c r="F10" s="60">
        <v>124.20000000000002</v>
      </c>
      <c r="G10" s="60">
        <v>26</v>
      </c>
      <c r="H10" s="60">
        <v>415.48</v>
      </c>
      <c r="I10" s="60">
        <v>450.7</v>
      </c>
      <c r="J10" s="60">
        <v>405</v>
      </c>
      <c r="K10" s="60">
        <v>460.62</v>
      </c>
      <c r="L10" s="60"/>
      <c r="M10" s="60"/>
      <c r="N10" s="60">
        <v>357.21000000000004</v>
      </c>
      <c r="O10" s="60"/>
      <c r="P10" s="60">
        <v>715</v>
      </c>
      <c r="Q10" s="60"/>
      <c r="R10" s="60"/>
      <c r="S10" s="60"/>
      <c r="T10" s="60">
        <v>2954.21</v>
      </c>
    </row>
    <row r="11" spans="1:20" x14ac:dyDescent="0.2">
      <c r="A11" s="574" t="s">
        <v>24</v>
      </c>
      <c r="F11" s="60">
        <v>2.4300000000000002</v>
      </c>
      <c r="G11" s="60"/>
      <c r="H11" s="60">
        <v>35.64</v>
      </c>
      <c r="I11" s="60">
        <v>289</v>
      </c>
      <c r="J11" s="60">
        <v>405</v>
      </c>
      <c r="K11" s="60"/>
      <c r="L11" s="60"/>
      <c r="M11" s="60"/>
      <c r="N11" s="60"/>
      <c r="O11" s="60"/>
      <c r="P11" s="60"/>
      <c r="Q11" s="60"/>
      <c r="R11" s="60"/>
      <c r="S11" s="60"/>
      <c r="T11" s="60">
        <v>732.06999999999994</v>
      </c>
    </row>
    <row r="12" spans="1:20" x14ac:dyDescent="0.2">
      <c r="A12" s="574" t="s">
        <v>200</v>
      </c>
      <c r="F12" s="60">
        <v>121.77000000000001</v>
      </c>
      <c r="G12" s="60">
        <v>26</v>
      </c>
      <c r="H12" s="60">
        <v>40</v>
      </c>
      <c r="I12" s="60">
        <v>161.69999999999999</v>
      </c>
      <c r="J12" s="60"/>
      <c r="K12" s="60">
        <v>460.62</v>
      </c>
      <c r="L12" s="60"/>
      <c r="M12" s="60"/>
      <c r="N12" s="60"/>
      <c r="O12" s="60"/>
      <c r="P12" s="60">
        <v>715</v>
      </c>
      <c r="Q12" s="60"/>
      <c r="R12" s="60"/>
      <c r="S12" s="60"/>
      <c r="T12" s="60">
        <v>1525.0900000000001</v>
      </c>
    </row>
    <row r="13" spans="1:20" x14ac:dyDescent="0.2">
      <c r="A13" s="574" t="s">
        <v>199</v>
      </c>
      <c r="F13" s="60"/>
      <c r="G13" s="60"/>
      <c r="H13" s="60">
        <v>234</v>
      </c>
      <c r="I13" s="60"/>
      <c r="J13" s="60"/>
      <c r="K13" s="60"/>
      <c r="L13" s="60"/>
      <c r="M13" s="60"/>
      <c r="N13" s="60"/>
      <c r="O13" s="60"/>
      <c r="P13" s="60"/>
      <c r="Q13" s="60"/>
      <c r="R13" s="60"/>
      <c r="S13" s="60"/>
      <c r="T13" s="60">
        <v>234</v>
      </c>
    </row>
    <row r="14" spans="1:20" x14ac:dyDescent="0.2">
      <c r="A14" s="574" t="s">
        <v>1534</v>
      </c>
      <c r="F14" s="60"/>
      <c r="G14" s="60"/>
      <c r="H14" s="60">
        <v>105.84</v>
      </c>
      <c r="I14" s="60"/>
      <c r="J14" s="60"/>
      <c r="K14" s="60"/>
      <c r="L14" s="60"/>
      <c r="M14" s="60"/>
      <c r="N14" s="60">
        <v>357.21000000000004</v>
      </c>
      <c r="O14" s="60"/>
      <c r="P14" s="60"/>
      <c r="Q14" s="60"/>
      <c r="R14" s="60"/>
      <c r="S14" s="60"/>
      <c r="T14" s="60">
        <v>463.05000000000007</v>
      </c>
    </row>
    <row r="15" spans="1:20" x14ac:dyDescent="0.2">
      <c r="A15" s="65" t="s">
        <v>1927</v>
      </c>
      <c r="F15" s="60"/>
      <c r="G15" s="60"/>
      <c r="H15" s="60"/>
      <c r="I15" s="60"/>
      <c r="J15" s="60">
        <v>101</v>
      </c>
      <c r="K15" s="60">
        <v>161</v>
      </c>
      <c r="L15" s="60">
        <v>96</v>
      </c>
      <c r="M15" s="60"/>
      <c r="N15" s="60"/>
      <c r="O15" s="60"/>
      <c r="P15" s="60"/>
      <c r="Q15" s="60"/>
      <c r="R15" s="60"/>
      <c r="S15" s="60"/>
      <c r="T15" s="60">
        <v>358</v>
      </c>
    </row>
    <row r="16" spans="1:20" x14ac:dyDescent="0.2">
      <c r="A16" s="574" t="s">
        <v>24</v>
      </c>
      <c r="F16" s="60"/>
      <c r="G16" s="60"/>
      <c r="H16" s="60"/>
      <c r="I16" s="60"/>
      <c r="J16" s="60">
        <v>101</v>
      </c>
      <c r="K16" s="60">
        <v>161</v>
      </c>
      <c r="L16" s="60"/>
      <c r="M16" s="60"/>
      <c r="N16" s="60"/>
      <c r="O16" s="60"/>
      <c r="P16" s="60"/>
      <c r="Q16" s="60"/>
      <c r="R16" s="60"/>
      <c r="S16" s="60"/>
      <c r="T16" s="60">
        <v>262</v>
      </c>
    </row>
    <row r="17" spans="1:20" x14ac:dyDescent="0.2">
      <c r="A17" s="574" t="s">
        <v>200</v>
      </c>
      <c r="F17" s="60"/>
      <c r="G17" s="60"/>
      <c r="H17" s="60"/>
      <c r="I17" s="60"/>
      <c r="J17" s="60"/>
      <c r="K17" s="60"/>
      <c r="L17" s="60">
        <v>96</v>
      </c>
      <c r="M17" s="60"/>
      <c r="N17" s="60"/>
      <c r="O17" s="60"/>
      <c r="P17" s="60"/>
      <c r="Q17" s="60"/>
      <c r="R17" s="60"/>
      <c r="S17" s="60"/>
      <c r="T17" s="60">
        <v>96</v>
      </c>
    </row>
    <row r="18" spans="1:20" x14ac:dyDescent="0.2">
      <c r="A18" s="65" t="s">
        <v>412</v>
      </c>
      <c r="F18" s="60"/>
      <c r="G18" s="60"/>
      <c r="H18" s="60"/>
      <c r="I18" s="60"/>
      <c r="J18" s="60">
        <v>7.0200000000000005</v>
      </c>
      <c r="K18" s="60">
        <v>77</v>
      </c>
      <c r="L18" s="60">
        <v>120</v>
      </c>
      <c r="M18" s="60"/>
      <c r="N18" s="60">
        <v>290.62</v>
      </c>
      <c r="O18" s="60">
        <v>724.08</v>
      </c>
      <c r="P18" s="60"/>
      <c r="Q18" s="60"/>
      <c r="R18" s="60"/>
      <c r="S18" s="60"/>
      <c r="T18" s="60">
        <v>1218.72</v>
      </c>
    </row>
    <row r="19" spans="1:20" x14ac:dyDescent="0.2">
      <c r="A19" s="574" t="s">
        <v>24</v>
      </c>
      <c r="F19" s="60"/>
      <c r="G19" s="60"/>
      <c r="H19" s="60"/>
      <c r="I19" s="60"/>
      <c r="J19" s="60"/>
      <c r="K19" s="60">
        <v>77</v>
      </c>
      <c r="L19" s="60">
        <v>120</v>
      </c>
      <c r="M19" s="60"/>
      <c r="N19" s="60">
        <v>150.62</v>
      </c>
      <c r="O19" s="60">
        <v>507</v>
      </c>
      <c r="P19" s="60"/>
      <c r="Q19" s="60"/>
      <c r="R19" s="60"/>
      <c r="S19" s="60"/>
      <c r="T19" s="60">
        <v>854.62</v>
      </c>
    </row>
    <row r="20" spans="1:20" x14ac:dyDescent="0.2">
      <c r="A20" s="574" t="s">
        <v>200</v>
      </c>
      <c r="F20" s="60"/>
      <c r="G20" s="60"/>
      <c r="H20" s="60"/>
      <c r="I20" s="60"/>
      <c r="J20" s="60"/>
      <c r="K20" s="60"/>
      <c r="L20" s="60"/>
      <c r="M20" s="60"/>
      <c r="N20" s="60">
        <v>140</v>
      </c>
      <c r="O20" s="60">
        <v>217.08</v>
      </c>
      <c r="P20" s="60"/>
      <c r="Q20" s="60"/>
      <c r="R20" s="60"/>
      <c r="S20" s="60"/>
      <c r="T20" s="60">
        <v>357.08000000000004</v>
      </c>
    </row>
    <row r="21" spans="1:20" x14ac:dyDescent="0.2">
      <c r="A21" s="574" t="s">
        <v>199</v>
      </c>
      <c r="F21" s="60"/>
      <c r="G21" s="60"/>
      <c r="H21" s="60"/>
      <c r="I21" s="60"/>
      <c r="J21" s="60">
        <v>7.0200000000000005</v>
      </c>
      <c r="K21" s="60"/>
      <c r="L21" s="60"/>
      <c r="M21" s="60"/>
      <c r="N21" s="60"/>
      <c r="O21" s="60"/>
      <c r="P21" s="60"/>
      <c r="Q21" s="60"/>
      <c r="R21" s="60"/>
      <c r="S21" s="60"/>
      <c r="T21" s="60">
        <v>7.0200000000000005</v>
      </c>
    </row>
    <row r="22" spans="1:20" x14ac:dyDescent="0.2">
      <c r="A22" s="65" t="s">
        <v>1929</v>
      </c>
      <c r="F22" s="60"/>
      <c r="G22" s="60"/>
      <c r="H22" s="60"/>
      <c r="I22" s="60"/>
      <c r="J22" s="60"/>
      <c r="K22" s="60">
        <v>90.72</v>
      </c>
      <c r="L22" s="60"/>
      <c r="M22" s="60">
        <v>135</v>
      </c>
      <c r="N22" s="60">
        <v>184.41000000000003</v>
      </c>
      <c r="O22" s="60"/>
      <c r="P22" s="60"/>
      <c r="Q22" s="60"/>
      <c r="R22" s="60"/>
      <c r="S22" s="60"/>
      <c r="T22" s="60">
        <v>410.13</v>
      </c>
    </row>
    <row r="23" spans="1:20" x14ac:dyDescent="0.2">
      <c r="A23" s="574" t="s">
        <v>24</v>
      </c>
      <c r="F23" s="60"/>
      <c r="G23" s="60"/>
      <c r="H23" s="60"/>
      <c r="I23" s="60"/>
      <c r="J23" s="60"/>
      <c r="K23" s="60"/>
      <c r="L23" s="60"/>
      <c r="M23" s="60">
        <v>135</v>
      </c>
      <c r="N23" s="60">
        <v>130.68</v>
      </c>
      <c r="O23" s="60"/>
      <c r="P23" s="60"/>
      <c r="Q23" s="60"/>
      <c r="R23" s="60"/>
      <c r="S23" s="60"/>
      <c r="T23" s="60">
        <v>265.68</v>
      </c>
    </row>
    <row r="24" spans="1:20" x14ac:dyDescent="0.2">
      <c r="A24" s="574" t="s">
        <v>200</v>
      </c>
      <c r="F24" s="60"/>
      <c r="G24" s="60"/>
      <c r="H24" s="60"/>
      <c r="I24" s="60"/>
      <c r="J24" s="60"/>
      <c r="K24" s="60">
        <v>90.72</v>
      </c>
      <c r="L24" s="60"/>
      <c r="M24" s="60"/>
      <c r="N24" s="60"/>
      <c r="O24" s="60"/>
      <c r="P24" s="60"/>
      <c r="Q24" s="60"/>
      <c r="R24" s="60"/>
      <c r="S24" s="60"/>
      <c r="T24" s="60">
        <v>90.72</v>
      </c>
    </row>
    <row r="25" spans="1:20" x14ac:dyDescent="0.2">
      <c r="A25" s="574" t="s">
        <v>1534</v>
      </c>
      <c r="F25" s="60"/>
      <c r="G25" s="60"/>
      <c r="H25" s="60"/>
      <c r="I25" s="60"/>
      <c r="J25" s="60"/>
      <c r="K25" s="60"/>
      <c r="L25" s="60"/>
      <c r="M25" s="60"/>
      <c r="N25" s="60">
        <v>53.730000000000004</v>
      </c>
      <c r="O25" s="60"/>
      <c r="P25" s="60"/>
      <c r="Q25" s="60"/>
      <c r="R25" s="60"/>
      <c r="S25" s="60"/>
      <c r="T25" s="60">
        <v>53.730000000000004</v>
      </c>
    </row>
    <row r="26" spans="1:20" x14ac:dyDescent="0.2">
      <c r="A26" s="65" t="s">
        <v>1917</v>
      </c>
      <c r="F26" s="60"/>
      <c r="G26" s="60"/>
      <c r="H26" s="60"/>
      <c r="I26" s="60"/>
      <c r="J26" s="60"/>
      <c r="K26" s="60"/>
      <c r="L26" s="60"/>
      <c r="M26" s="60">
        <v>442.53000000000003</v>
      </c>
      <c r="N26" s="60">
        <v>74.25</v>
      </c>
      <c r="O26" s="60">
        <v>516</v>
      </c>
      <c r="P26" s="60">
        <v>193.32000000000002</v>
      </c>
      <c r="Q26" s="60">
        <v>76.410000000000011</v>
      </c>
      <c r="R26" s="60">
        <v>1780.92</v>
      </c>
      <c r="S26" s="60">
        <v>0</v>
      </c>
      <c r="T26" s="60">
        <v>3083.4300000000003</v>
      </c>
    </row>
    <row r="27" spans="1:20" x14ac:dyDescent="0.2">
      <c r="A27" s="574" t="s">
        <v>24</v>
      </c>
      <c r="F27" s="60"/>
      <c r="G27" s="60"/>
      <c r="H27" s="60"/>
      <c r="I27" s="60"/>
      <c r="J27" s="60"/>
      <c r="K27" s="60"/>
      <c r="L27" s="60"/>
      <c r="M27" s="60">
        <v>442.53000000000003</v>
      </c>
      <c r="N27" s="60">
        <v>74.25</v>
      </c>
      <c r="O27" s="60"/>
      <c r="P27" s="60"/>
      <c r="Q27" s="60"/>
      <c r="R27" s="60">
        <v>728.46</v>
      </c>
      <c r="S27" s="60"/>
      <c r="T27" s="60">
        <v>1245.24</v>
      </c>
    </row>
    <row r="28" spans="1:20" x14ac:dyDescent="0.2">
      <c r="A28" s="574" t="s">
        <v>200</v>
      </c>
      <c r="F28" s="60"/>
      <c r="G28" s="60"/>
      <c r="H28" s="60"/>
      <c r="I28" s="60"/>
      <c r="J28" s="60"/>
      <c r="K28" s="60"/>
      <c r="L28" s="60"/>
      <c r="M28" s="60"/>
      <c r="N28" s="60"/>
      <c r="O28" s="60">
        <v>516</v>
      </c>
      <c r="P28" s="60">
        <v>193.32000000000002</v>
      </c>
      <c r="Q28" s="60"/>
      <c r="R28" s="60">
        <v>1052.46</v>
      </c>
      <c r="S28" s="60">
        <v>0</v>
      </c>
      <c r="T28" s="60">
        <v>1761.7800000000002</v>
      </c>
    </row>
    <row r="29" spans="1:20" x14ac:dyDescent="0.2">
      <c r="A29" s="574" t="s">
        <v>199</v>
      </c>
      <c r="F29" s="60"/>
      <c r="G29" s="60"/>
      <c r="H29" s="60"/>
      <c r="I29" s="60"/>
      <c r="J29" s="60"/>
      <c r="K29" s="60"/>
      <c r="L29" s="60"/>
      <c r="M29" s="60"/>
      <c r="N29" s="60"/>
      <c r="O29" s="60"/>
      <c r="P29" s="60"/>
      <c r="Q29" s="60">
        <v>76.410000000000011</v>
      </c>
      <c r="R29" s="60"/>
      <c r="S29" s="60"/>
      <c r="T29" s="60">
        <v>76.410000000000011</v>
      </c>
    </row>
    <row r="30" spans="1:20" x14ac:dyDescent="0.2">
      <c r="A30" s="65" t="s">
        <v>2046</v>
      </c>
      <c r="B30" s="60">
        <v>8637.5149999999994</v>
      </c>
      <c r="C30" s="60">
        <v>15.120000000000001</v>
      </c>
      <c r="E30" s="60">
        <v>385.88</v>
      </c>
      <c r="F30" s="60">
        <v>124.20000000000002</v>
      </c>
      <c r="G30" s="60">
        <v>26</v>
      </c>
      <c r="H30" s="60">
        <v>415.48</v>
      </c>
      <c r="I30" s="60">
        <v>450.7</v>
      </c>
      <c r="J30" s="60">
        <v>513.02</v>
      </c>
      <c r="K30" s="60">
        <v>789.34</v>
      </c>
      <c r="L30" s="60">
        <v>216</v>
      </c>
      <c r="M30" s="60">
        <v>577.53</v>
      </c>
      <c r="N30" s="60">
        <v>906.49</v>
      </c>
      <c r="O30" s="60">
        <v>1240.08</v>
      </c>
      <c r="P30" s="60">
        <v>908.32</v>
      </c>
      <c r="Q30" s="60">
        <v>76.410000000000011</v>
      </c>
      <c r="R30" s="60">
        <v>1780.92</v>
      </c>
      <c r="S30" s="60">
        <v>0</v>
      </c>
      <c r="T30" s="60">
        <v>17063.004999999997</v>
      </c>
    </row>
    <row r="31" spans="1:20" x14ac:dyDescent="0.2">
      <c r="B31"/>
      <c r="C31"/>
      <c r="D31"/>
      <c r="E31"/>
    </row>
    <row r="32" spans="1:20" x14ac:dyDescent="0.2">
      <c r="B32"/>
      <c r="C32"/>
      <c r="D32"/>
      <c r="E32"/>
    </row>
    <row r="33" spans="2:5" x14ac:dyDescent="0.2">
      <c r="B33"/>
      <c r="C33"/>
      <c r="D33"/>
      <c r="E33"/>
    </row>
    <row r="34" spans="2:5" x14ac:dyDescent="0.2">
      <c r="B34"/>
      <c r="C34"/>
      <c r="D34"/>
      <c r="E34"/>
    </row>
    <row r="35" spans="2:5" x14ac:dyDescent="0.2">
      <c r="B35"/>
      <c r="C35"/>
      <c r="D35"/>
      <c r="E35"/>
    </row>
    <row r="36" spans="2:5" x14ac:dyDescent="0.2">
      <c r="B36"/>
      <c r="C36"/>
      <c r="D36"/>
      <c r="E36"/>
    </row>
    <row r="37" spans="2:5" x14ac:dyDescent="0.2">
      <c r="B37"/>
      <c r="C37"/>
      <c r="D37"/>
      <c r="E37"/>
    </row>
    <row r="38" spans="2:5" x14ac:dyDescent="0.2">
      <c r="B38"/>
      <c r="C38"/>
      <c r="D38"/>
      <c r="E38"/>
    </row>
    <row r="39" spans="2:5" x14ac:dyDescent="0.2">
      <c r="B39"/>
      <c r="C39"/>
      <c r="D39"/>
      <c r="E39"/>
    </row>
    <row r="40" spans="2:5" x14ac:dyDescent="0.2">
      <c r="B40"/>
      <c r="C40"/>
      <c r="D40"/>
      <c r="E40"/>
    </row>
    <row r="41" spans="2:5" x14ac:dyDescent="0.2">
      <c r="B41"/>
      <c r="C41"/>
      <c r="D41"/>
      <c r="E41"/>
    </row>
    <row r="42" spans="2:5" x14ac:dyDescent="0.2">
      <c r="B42"/>
      <c r="C42"/>
      <c r="D42"/>
      <c r="E42"/>
    </row>
    <row r="43" spans="2:5" x14ac:dyDescent="0.2">
      <c r="B43"/>
      <c r="C43"/>
      <c r="D43"/>
      <c r="E43"/>
    </row>
    <row r="44" spans="2:5" x14ac:dyDescent="0.2">
      <c r="B44"/>
      <c r="C44"/>
      <c r="D44"/>
      <c r="E44"/>
    </row>
    <row r="45" spans="2:5" x14ac:dyDescent="0.2">
      <c r="B45"/>
      <c r="C45"/>
      <c r="D45"/>
      <c r="E45"/>
    </row>
    <row r="46" spans="2:5" x14ac:dyDescent="0.2">
      <c r="B46"/>
      <c r="C46"/>
      <c r="D46"/>
      <c r="E46"/>
    </row>
    <row r="47" spans="2:5" x14ac:dyDescent="0.2">
      <c r="B47"/>
      <c r="C47"/>
      <c r="D47"/>
      <c r="E47"/>
    </row>
    <row r="48" spans="2:5" x14ac:dyDescent="0.2">
      <c r="B48"/>
      <c r="C48"/>
      <c r="D48"/>
      <c r="E48"/>
    </row>
    <row r="49" spans="2:5" x14ac:dyDescent="0.2">
      <c r="B49"/>
      <c r="C49"/>
      <c r="D49"/>
      <c r="E49"/>
    </row>
    <row r="50" spans="2:5" x14ac:dyDescent="0.2">
      <c r="B50"/>
      <c r="C50"/>
      <c r="D50"/>
      <c r="E50"/>
    </row>
    <row r="51" spans="2:5" x14ac:dyDescent="0.2">
      <c r="B51"/>
      <c r="C51"/>
      <c r="D51"/>
      <c r="E51"/>
    </row>
    <row r="52" spans="2:5" x14ac:dyDescent="0.2">
      <c r="B52"/>
      <c r="C52"/>
      <c r="D52"/>
      <c r="E52"/>
    </row>
    <row r="53" spans="2:5" x14ac:dyDescent="0.2">
      <c r="B53"/>
      <c r="C53"/>
      <c r="D53"/>
      <c r="E53"/>
    </row>
    <row r="54" spans="2:5" x14ac:dyDescent="0.2">
      <c r="B54"/>
      <c r="C54"/>
      <c r="D54"/>
      <c r="E54"/>
    </row>
    <row r="55" spans="2:5" x14ac:dyDescent="0.2">
      <c r="B55"/>
      <c r="C55"/>
      <c r="D55"/>
      <c r="E55"/>
    </row>
    <row r="56" spans="2:5" x14ac:dyDescent="0.2">
      <c r="B56"/>
      <c r="C56"/>
      <c r="D56"/>
      <c r="E56"/>
    </row>
    <row r="57" spans="2:5" x14ac:dyDescent="0.2">
      <c r="B57"/>
      <c r="C57"/>
      <c r="D57"/>
      <c r="E57"/>
    </row>
    <row r="58" spans="2:5" x14ac:dyDescent="0.2">
      <c r="B58"/>
      <c r="C58"/>
      <c r="D58"/>
      <c r="E58"/>
    </row>
    <row r="59" spans="2:5" x14ac:dyDescent="0.2">
      <c r="B59"/>
      <c r="C59"/>
      <c r="D59"/>
      <c r="E59"/>
    </row>
    <row r="60" spans="2:5" x14ac:dyDescent="0.2">
      <c r="B60"/>
      <c r="C60"/>
      <c r="D60"/>
      <c r="E60"/>
    </row>
    <row r="61" spans="2:5" x14ac:dyDescent="0.2">
      <c r="B61"/>
      <c r="C61"/>
      <c r="D61"/>
      <c r="E61"/>
    </row>
    <row r="62" spans="2:5" x14ac:dyDescent="0.2">
      <c r="B62"/>
      <c r="C62"/>
      <c r="D62"/>
      <c r="E62"/>
    </row>
    <row r="63" spans="2:5" x14ac:dyDescent="0.2">
      <c r="B63"/>
      <c r="C63"/>
      <c r="D63"/>
      <c r="E63"/>
    </row>
    <row r="64" spans="2:5" x14ac:dyDescent="0.2">
      <c r="B64"/>
      <c r="C64"/>
      <c r="D64"/>
      <c r="E64"/>
    </row>
    <row r="65" spans="2:5" x14ac:dyDescent="0.2">
      <c r="B65"/>
      <c r="C65"/>
      <c r="D65"/>
      <c r="E65"/>
    </row>
    <row r="66" spans="2:5" x14ac:dyDescent="0.2">
      <c r="B66"/>
      <c r="C66"/>
      <c r="D66"/>
      <c r="E66"/>
    </row>
    <row r="67" spans="2:5" x14ac:dyDescent="0.2">
      <c r="B67"/>
      <c r="C67"/>
      <c r="D67"/>
      <c r="E67"/>
    </row>
    <row r="68" spans="2:5" x14ac:dyDescent="0.2">
      <c r="B68"/>
      <c r="C68"/>
      <c r="D68"/>
      <c r="E68"/>
    </row>
    <row r="69" spans="2:5" x14ac:dyDescent="0.2">
      <c r="B69"/>
      <c r="C69"/>
      <c r="D69"/>
      <c r="E69"/>
    </row>
    <row r="70" spans="2:5" x14ac:dyDescent="0.2">
      <c r="B70"/>
      <c r="C70"/>
      <c r="D70"/>
      <c r="E70"/>
    </row>
    <row r="71" spans="2:5" x14ac:dyDescent="0.2">
      <c r="B71"/>
      <c r="C71"/>
      <c r="D71"/>
      <c r="E71"/>
    </row>
    <row r="72" spans="2:5" x14ac:dyDescent="0.2">
      <c r="B72"/>
      <c r="C72"/>
      <c r="D72"/>
      <c r="E72"/>
    </row>
    <row r="73" spans="2:5" x14ac:dyDescent="0.2">
      <c r="B73"/>
      <c r="C73"/>
      <c r="D73"/>
      <c r="E73"/>
    </row>
  </sheetData>
  <phoneticPr fontId="10" type="noConversion"/>
  <pageMargins left="0.70000000000000007" right="0.70000000000000007" top="0.75000000000000011" bottom="0.75000000000000011" header="0.30000000000000004" footer="0.30000000000000004"/>
  <pageSetup paperSize="9" scale="87"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showGridLines="0" workbookViewId="0">
      <selection sqref="A1:D27"/>
    </sheetView>
  </sheetViews>
  <sheetFormatPr baseColWidth="10" defaultRowHeight="16" x14ac:dyDescent="0.2"/>
  <cols>
    <col min="1" max="1" width="22.5" customWidth="1"/>
    <col min="2" max="2" width="27.1640625" style="60" bestFit="1" customWidth="1"/>
    <col min="3" max="3" width="15.1640625" style="60" bestFit="1" customWidth="1"/>
    <col min="4" max="4" width="23.6640625" style="60" bestFit="1" customWidth="1"/>
    <col min="5" max="5" width="13.6640625" style="60" bestFit="1" customWidth="1"/>
  </cols>
  <sheetData>
    <row r="1" spans="1:5" x14ac:dyDescent="0.2">
      <c r="A1" t="s">
        <v>431</v>
      </c>
      <c r="B1" t="s">
        <v>2050</v>
      </c>
    </row>
    <row r="3" spans="1:5" x14ac:dyDescent="0.2">
      <c r="A3" t="s">
        <v>2045</v>
      </c>
      <c r="B3" s="60" t="s">
        <v>2047</v>
      </c>
      <c r="C3" t="s">
        <v>2049</v>
      </c>
      <c r="D3" s="60" t="s">
        <v>2044</v>
      </c>
      <c r="E3"/>
    </row>
    <row r="4" spans="1:5" x14ac:dyDescent="0.2">
      <c r="A4" s="65" t="s">
        <v>24</v>
      </c>
      <c r="B4" s="60">
        <v>22351.5</v>
      </c>
      <c r="C4" s="60">
        <v>44871</v>
      </c>
      <c r="D4" s="60">
        <v>28</v>
      </c>
      <c r="E4"/>
    </row>
    <row r="5" spans="1:5" x14ac:dyDescent="0.2">
      <c r="A5" s="574" t="s">
        <v>1943</v>
      </c>
      <c r="B5" s="60">
        <v>2500</v>
      </c>
      <c r="C5" s="60">
        <v>5000</v>
      </c>
      <c r="D5" s="60">
        <v>3</v>
      </c>
      <c r="E5"/>
    </row>
    <row r="6" spans="1:5" x14ac:dyDescent="0.2">
      <c r="A6" s="574" t="s">
        <v>196</v>
      </c>
      <c r="B6" s="60">
        <v>5824.5</v>
      </c>
      <c r="C6" s="60">
        <v>11649</v>
      </c>
      <c r="D6" s="60">
        <v>13</v>
      </c>
      <c r="E6"/>
    </row>
    <row r="7" spans="1:5" x14ac:dyDescent="0.2">
      <c r="A7" s="574" t="s">
        <v>96</v>
      </c>
      <c r="B7" s="60">
        <v>4654</v>
      </c>
      <c r="C7" s="60">
        <v>9308</v>
      </c>
      <c r="D7" s="60">
        <v>8</v>
      </c>
      <c r="E7"/>
    </row>
    <row r="8" spans="1:5" x14ac:dyDescent="0.2">
      <c r="A8" s="574" t="s">
        <v>1942</v>
      </c>
      <c r="B8" s="60">
        <v>3207</v>
      </c>
      <c r="C8" s="60">
        <v>6414</v>
      </c>
      <c r="D8" s="60">
        <v>3</v>
      </c>
      <c r="E8"/>
    </row>
    <row r="9" spans="1:5" x14ac:dyDescent="0.2">
      <c r="A9" s="574" t="s">
        <v>2053</v>
      </c>
      <c r="B9" s="60">
        <v>6166</v>
      </c>
      <c r="C9" s="60">
        <v>12500</v>
      </c>
      <c r="D9" s="60">
        <v>1</v>
      </c>
      <c r="E9"/>
    </row>
    <row r="10" spans="1:5" x14ac:dyDescent="0.2">
      <c r="A10" s="65" t="s">
        <v>200</v>
      </c>
      <c r="B10" s="60">
        <v>22186</v>
      </c>
      <c r="C10" s="60">
        <v>45449</v>
      </c>
      <c r="D10" s="60">
        <v>22</v>
      </c>
      <c r="E10"/>
    </row>
    <row r="11" spans="1:5" x14ac:dyDescent="0.2">
      <c r="A11" s="574" t="s">
        <v>1948</v>
      </c>
      <c r="B11" s="60">
        <v>1223</v>
      </c>
      <c r="C11" s="60">
        <v>2446</v>
      </c>
      <c r="D11" s="60">
        <v>3</v>
      </c>
      <c r="E11"/>
    </row>
    <row r="12" spans="1:5" x14ac:dyDescent="0.2">
      <c r="A12" s="574" t="s">
        <v>1947</v>
      </c>
      <c r="B12" s="60">
        <v>2848</v>
      </c>
      <c r="C12" s="60">
        <v>5696</v>
      </c>
      <c r="D12" s="60">
        <v>3</v>
      </c>
      <c r="E12"/>
    </row>
    <row r="13" spans="1:5" x14ac:dyDescent="0.2">
      <c r="A13" s="574" t="s">
        <v>181</v>
      </c>
      <c r="B13" s="60">
        <v>2186</v>
      </c>
      <c r="C13" s="60">
        <v>4372</v>
      </c>
      <c r="D13" s="60">
        <v>5</v>
      </c>
      <c r="E13"/>
    </row>
    <row r="14" spans="1:5" x14ac:dyDescent="0.2">
      <c r="A14" s="574" t="s">
        <v>1946</v>
      </c>
      <c r="B14" s="60">
        <v>4108</v>
      </c>
      <c r="C14" s="60">
        <v>8216</v>
      </c>
      <c r="D14" s="60">
        <v>3</v>
      </c>
      <c r="E14"/>
    </row>
    <row r="15" spans="1:5" x14ac:dyDescent="0.2">
      <c r="A15" s="574" t="s">
        <v>196</v>
      </c>
      <c r="B15" s="60">
        <v>1380</v>
      </c>
      <c r="C15" s="60">
        <v>2760</v>
      </c>
      <c r="D15" s="60">
        <v>4</v>
      </c>
      <c r="E15"/>
    </row>
    <row r="16" spans="1:5" x14ac:dyDescent="0.2">
      <c r="A16" s="574" t="s">
        <v>1945</v>
      </c>
      <c r="B16" s="60">
        <v>4214</v>
      </c>
      <c r="C16" s="60">
        <v>8428</v>
      </c>
      <c r="D16" s="60">
        <v>3</v>
      </c>
      <c r="E16"/>
    </row>
    <row r="17" spans="1:5" x14ac:dyDescent="0.2">
      <c r="A17" s="574" t="s">
        <v>2053</v>
      </c>
      <c r="B17" s="60">
        <v>6227</v>
      </c>
      <c r="C17" s="60">
        <v>13531</v>
      </c>
      <c r="D17" s="60">
        <v>1</v>
      </c>
      <c r="E17"/>
    </row>
    <row r="18" spans="1:5" x14ac:dyDescent="0.2">
      <c r="A18" s="65" t="s">
        <v>199</v>
      </c>
      <c r="B18" s="60">
        <v>6850</v>
      </c>
      <c r="C18" s="60">
        <v>15458</v>
      </c>
      <c r="D18" s="60">
        <v>7</v>
      </c>
      <c r="E18"/>
    </row>
    <row r="19" spans="1:5" x14ac:dyDescent="0.2">
      <c r="A19" s="574" t="s">
        <v>1946</v>
      </c>
      <c r="B19" s="60">
        <v>127</v>
      </c>
      <c r="C19" s="60">
        <v>254</v>
      </c>
      <c r="D19" s="60">
        <v>3</v>
      </c>
      <c r="E19"/>
    </row>
    <row r="20" spans="1:5" x14ac:dyDescent="0.2">
      <c r="A20" s="574" t="s">
        <v>1942</v>
      </c>
      <c r="B20" s="60">
        <v>492</v>
      </c>
      <c r="C20" s="60">
        <v>984</v>
      </c>
      <c r="D20" s="60">
        <v>3</v>
      </c>
      <c r="E20"/>
    </row>
    <row r="21" spans="1:5" x14ac:dyDescent="0.2">
      <c r="A21" s="574" t="s">
        <v>2053</v>
      </c>
      <c r="B21" s="60">
        <v>6231</v>
      </c>
      <c r="C21" s="60">
        <v>14220</v>
      </c>
      <c r="D21" s="60">
        <v>1</v>
      </c>
      <c r="E21"/>
    </row>
    <row r="22" spans="1:5" x14ac:dyDescent="0.2">
      <c r="A22" s="65" t="s">
        <v>1534</v>
      </c>
      <c r="B22" s="60">
        <v>4459</v>
      </c>
      <c r="C22" s="60">
        <v>10985</v>
      </c>
      <c r="D22" s="60">
        <v>5</v>
      </c>
      <c r="E22"/>
    </row>
    <row r="23" spans="1:5" x14ac:dyDescent="0.2">
      <c r="A23" s="574" t="s">
        <v>1955</v>
      </c>
      <c r="B23" s="60">
        <v>100</v>
      </c>
      <c r="C23" s="60">
        <v>200</v>
      </c>
      <c r="D23" s="60">
        <v>1</v>
      </c>
      <c r="E23"/>
    </row>
    <row r="24" spans="1:5" x14ac:dyDescent="0.2">
      <c r="A24" s="574" t="s">
        <v>1945</v>
      </c>
      <c r="B24" s="60">
        <v>1715</v>
      </c>
      <c r="C24" s="60">
        <v>3430</v>
      </c>
      <c r="D24" s="60">
        <v>2</v>
      </c>
      <c r="E24"/>
    </row>
    <row r="25" spans="1:5" x14ac:dyDescent="0.2">
      <c r="A25" s="574" t="s">
        <v>1942</v>
      </c>
      <c r="B25" s="60">
        <v>199</v>
      </c>
      <c r="C25" s="60">
        <v>398</v>
      </c>
      <c r="D25" s="60">
        <v>1</v>
      </c>
      <c r="E25"/>
    </row>
    <row r="26" spans="1:5" x14ac:dyDescent="0.2">
      <c r="A26" s="574" t="s">
        <v>2053</v>
      </c>
      <c r="B26" s="60">
        <v>2445</v>
      </c>
      <c r="C26" s="60">
        <v>6957</v>
      </c>
      <c r="D26" s="60">
        <v>1</v>
      </c>
      <c r="E26"/>
    </row>
    <row r="27" spans="1:5" x14ac:dyDescent="0.2">
      <c r="A27" s="65" t="s">
        <v>2046</v>
      </c>
      <c r="B27" s="60">
        <v>55846.5</v>
      </c>
      <c r="C27" s="60">
        <v>116763</v>
      </c>
      <c r="D27" s="60">
        <v>62</v>
      </c>
      <c r="E27"/>
    </row>
    <row r="28" spans="1:5" x14ac:dyDescent="0.2">
      <c r="B28"/>
      <c r="C28"/>
      <c r="D28"/>
    </row>
    <row r="29" spans="1:5" x14ac:dyDescent="0.2">
      <c r="B29"/>
      <c r="C29"/>
      <c r="D29"/>
    </row>
    <row r="30" spans="1:5" x14ac:dyDescent="0.2">
      <c r="B30"/>
      <c r="C30"/>
      <c r="D30"/>
    </row>
    <row r="31" spans="1:5" x14ac:dyDescent="0.2">
      <c r="B31"/>
      <c r="C31"/>
      <c r="D31"/>
    </row>
    <row r="32" spans="1:5" x14ac:dyDescent="0.2">
      <c r="B32"/>
      <c r="C32"/>
      <c r="D32"/>
    </row>
    <row r="33" spans="2:4" x14ac:dyDescent="0.2">
      <c r="B33"/>
      <c r="C33"/>
      <c r="D33"/>
    </row>
    <row r="34" spans="2:4" x14ac:dyDescent="0.2">
      <c r="B34"/>
      <c r="C34"/>
      <c r="D34"/>
    </row>
    <row r="35" spans="2:4" x14ac:dyDescent="0.2">
      <c r="B35"/>
      <c r="C35"/>
      <c r="D35"/>
    </row>
    <row r="36" spans="2:4" x14ac:dyDescent="0.2">
      <c r="B36"/>
      <c r="C36"/>
      <c r="D36"/>
    </row>
    <row r="37" spans="2:4" x14ac:dyDescent="0.2">
      <c r="B37"/>
      <c r="C37"/>
      <c r="D37"/>
    </row>
    <row r="38" spans="2:4" x14ac:dyDescent="0.2">
      <c r="B38"/>
      <c r="C38"/>
      <c r="D38"/>
    </row>
    <row r="39" spans="2:4" x14ac:dyDescent="0.2">
      <c r="B39"/>
      <c r="C39"/>
      <c r="D39"/>
    </row>
    <row r="40" spans="2:4" x14ac:dyDescent="0.2">
      <c r="B40"/>
      <c r="C40"/>
      <c r="D40"/>
    </row>
    <row r="41" spans="2:4" x14ac:dyDescent="0.2">
      <c r="B41"/>
      <c r="C41"/>
      <c r="D41"/>
    </row>
    <row r="42" spans="2:4" x14ac:dyDescent="0.2">
      <c r="B42"/>
      <c r="C42"/>
      <c r="D42"/>
    </row>
    <row r="43" spans="2:4" x14ac:dyDescent="0.2">
      <c r="B43"/>
      <c r="C43"/>
      <c r="D43"/>
    </row>
    <row r="44" spans="2:4" x14ac:dyDescent="0.2">
      <c r="B44"/>
      <c r="C44"/>
      <c r="D44"/>
    </row>
    <row r="45" spans="2:4" x14ac:dyDescent="0.2">
      <c r="B45"/>
      <c r="C45"/>
      <c r="D45"/>
    </row>
    <row r="46" spans="2:4" x14ac:dyDescent="0.2">
      <c r="B46"/>
      <c r="C46"/>
      <c r="D46"/>
    </row>
    <row r="47" spans="2:4" x14ac:dyDescent="0.2">
      <c r="B47"/>
      <c r="C47"/>
      <c r="D47"/>
    </row>
    <row r="48" spans="2:4" x14ac:dyDescent="0.2">
      <c r="B48"/>
      <c r="C48"/>
      <c r="D48"/>
    </row>
    <row r="49" spans="2:4" x14ac:dyDescent="0.2">
      <c r="B49"/>
      <c r="C49"/>
      <c r="D49"/>
    </row>
    <row r="50" spans="2:4" x14ac:dyDescent="0.2">
      <c r="B50"/>
      <c r="C50"/>
      <c r="D50"/>
    </row>
    <row r="51" spans="2:4" x14ac:dyDescent="0.2">
      <c r="B51"/>
      <c r="C51"/>
      <c r="D51"/>
    </row>
    <row r="52" spans="2:4" x14ac:dyDescent="0.2">
      <c r="B52"/>
      <c r="C52"/>
      <c r="D52"/>
    </row>
    <row r="53" spans="2:4" x14ac:dyDescent="0.2">
      <c r="B53"/>
      <c r="C53"/>
      <c r="D53"/>
    </row>
    <row r="54" spans="2:4" x14ac:dyDescent="0.2">
      <c r="B54"/>
      <c r="C54"/>
      <c r="D54"/>
    </row>
    <row r="55" spans="2:4" x14ac:dyDescent="0.2">
      <c r="B55"/>
      <c r="C55"/>
      <c r="D55"/>
    </row>
    <row r="56" spans="2:4" x14ac:dyDescent="0.2">
      <c r="B56"/>
      <c r="C56"/>
      <c r="D56"/>
    </row>
    <row r="57" spans="2:4" x14ac:dyDescent="0.2">
      <c r="B57"/>
      <c r="C57"/>
      <c r="D57"/>
    </row>
    <row r="58" spans="2:4" x14ac:dyDescent="0.2">
      <c r="B58"/>
      <c r="C58"/>
      <c r="D58"/>
    </row>
    <row r="59" spans="2:4" x14ac:dyDescent="0.2">
      <c r="B59"/>
      <c r="C59"/>
      <c r="D59"/>
    </row>
    <row r="60" spans="2:4" x14ac:dyDescent="0.2">
      <c r="B60"/>
      <c r="C60"/>
      <c r="D60"/>
    </row>
    <row r="61" spans="2:4" x14ac:dyDescent="0.2">
      <c r="B61"/>
      <c r="C61"/>
      <c r="D61"/>
    </row>
    <row r="62" spans="2:4" x14ac:dyDescent="0.2">
      <c r="B62"/>
      <c r="C62"/>
      <c r="D62"/>
    </row>
    <row r="63" spans="2:4" x14ac:dyDescent="0.2">
      <c r="B63"/>
      <c r="C63"/>
      <c r="D63"/>
    </row>
    <row r="64" spans="2:4" x14ac:dyDescent="0.2">
      <c r="B64"/>
      <c r="C64"/>
      <c r="D64"/>
    </row>
    <row r="65" spans="2:4" x14ac:dyDescent="0.2">
      <c r="B65"/>
      <c r="C65"/>
      <c r="D65"/>
    </row>
    <row r="66" spans="2:4" x14ac:dyDescent="0.2">
      <c r="B66"/>
      <c r="C66"/>
      <c r="D66"/>
    </row>
    <row r="67" spans="2:4" x14ac:dyDescent="0.2">
      <c r="B67"/>
      <c r="C67"/>
      <c r="D67"/>
    </row>
    <row r="68" spans="2:4" x14ac:dyDescent="0.2">
      <c r="B68"/>
      <c r="C68"/>
      <c r="D68"/>
    </row>
    <row r="69" spans="2:4" x14ac:dyDescent="0.2">
      <c r="B69"/>
      <c r="C69"/>
      <c r="D69"/>
    </row>
    <row r="70" spans="2:4" x14ac:dyDescent="0.2">
      <c r="B70"/>
      <c r="C70"/>
      <c r="D70"/>
    </row>
    <row r="71" spans="2:4" x14ac:dyDescent="0.2">
      <c r="B71"/>
      <c r="C71"/>
      <c r="D71"/>
    </row>
    <row r="72" spans="2:4" x14ac:dyDescent="0.2">
      <c r="B72"/>
      <c r="C72"/>
      <c r="D72"/>
    </row>
    <row r="73" spans="2:4" x14ac:dyDescent="0.2">
      <c r="B73"/>
      <c r="C73"/>
      <c r="D73"/>
    </row>
  </sheetData>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V59"/>
  <sheetViews>
    <sheetView topLeftCell="A13" workbookViewId="0">
      <selection activeCell="H36" sqref="H36"/>
    </sheetView>
  </sheetViews>
  <sheetFormatPr baseColWidth="10" defaultRowHeight="16" x14ac:dyDescent="0.2"/>
  <cols>
    <col min="1" max="1" width="25" customWidth="1"/>
    <col min="9" max="9" width="15.6640625" customWidth="1"/>
  </cols>
  <sheetData>
    <row r="21" spans="1:6" x14ac:dyDescent="0.2">
      <c r="A21" t="s">
        <v>2045</v>
      </c>
      <c r="B21" t="s">
        <v>1121</v>
      </c>
      <c r="C21" t="s">
        <v>1927</v>
      </c>
      <c r="D21" t="s">
        <v>412</v>
      </c>
      <c r="E21" t="s">
        <v>1929</v>
      </c>
      <c r="F21" t="s">
        <v>1917</v>
      </c>
    </row>
    <row r="22" spans="1:6" x14ac:dyDescent="0.2">
      <c r="A22" t="s">
        <v>24</v>
      </c>
      <c r="B22" s="60">
        <v>4245</v>
      </c>
      <c r="C22" s="60">
        <v>1583</v>
      </c>
      <c r="D22" s="60">
        <v>2965</v>
      </c>
      <c r="E22" s="60">
        <v>984</v>
      </c>
      <c r="F22" s="60">
        <v>4473</v>
      </c>
    </row>
    <row r="23" spans="1:6" x14ac:dyDescent="0.2">
      <c r="A23" t="s">
        <v>200</v>
      </c>
      <c r="B23" s="60">
        <v>6656</v>
      </c>
      <c r="C23" s="60">
        <v>338</v>
      </c>
      <c r="D23" s="60">
        <v>1218</v>
      </c>
      <c r="E23" s="60">
        <v>336</v>
      </c>
      <c r="F23" s="60">
        <v>6714</v>
      </c>
    </row>
    <row r="24" spans="1:6" x14ac:dyDescent="0.2">
      <c r="A24" t="s">
        <v>199</v>
      </c>
      <c r="B24" s="60">
        <v>209</v>
      </c>
      <c r="C24" s="60"/>
      <c r="D24" s="60">
        <v>26</v>
      </c>
      <c r="E24" s="60"/>
      <c r="F24" s="60">
        <v>283</v>
      </c>
    </row>
    <row r="25" spans="1:6" x14ac:dyDescent="0.2">
      <c r="A25" t="s">
        <v>1534</v>
      </c>
      <c r="B25" s="60">
        <v>1715</v>
      </c>
      <c r="C25" s="60"/>
      <c r="D25" s="60"/>
      <c r="E25" s="60">
        <v>199</v>
      </c>
      <c r="F25" s="60"/>
    </row>
    <row r="26" spans="1:6" x14ac:dyDescent="0.2">
      <c r="A26" t="s">
        <v>2046</v>
      </c>
      <c r="B26" s="60">
        <v>12825</v>
      </c>
      <c r="C26" s="60">
        <v>1921</v>
      </c>
      <c r="D26" s="60">
        <v>4209</v>
      </c>
      <c r="E26" s="60">
        <v>1519</v>
      </c>
      <c r="F26" s="60">
        <v>11470</v>
      </c>
    </row>
    <row r="51" spans="1:22" x14ac:dyDescent="0.2">
      <c r="A51" t="s">
        <v>2047</v>
      </c>
      <c r="B51" t="s">
        <v>2057</v>
      </c>
    </row>
    <row r="52" spans="1:22" x14ac:dyDescent="0.2">
      <c r="B52">
        <v>2017</v>
      </c>
      <c r="C52">
        <v>2018</v>
      </c>
      <c r="D52">
        <v>2019</v>
      </c>
      <c r="E52">
        <v>2020</v>
      </c>
      <c r="F52">
        <v>2021</v>
      </c>
      <c r="G52">
        <v>2022</v>
      </c>
      <c r="H52">
        <v>2023</v>
      </c>
      <c r="I52">
        <v>2024</v>
      </c>
      <c r="J52">
        <v>2025</v>
      </c>
      <c r="K52">
        <v>2026</v>
      </c>
      <c r="L52">
        <v>2028</v>
      </c>
      <c r="M52">
        <v>2030</v>
      </c>
      <c r="N52">
        <v>2031</v>
      </c>
      <c r="R52">
        <v>2010</v>
      </c>
      <c r="S52">
        <v>2011</v>
      </c>
      <c r="T52">
        <v>2014</v>
      </c>
      <c r="U52">
        <v>2015</v>
      </c>
      <c r="V52">
        <v>2016</v>
      </c>
    </row>
    <row r="53" spans="1:22" x14ac:dyDescent="0.2">
      <c r="A53" t="s">
        <v>387</v>
      </c>
      <c r="B53">
        <v>546</v>
      </c>
      <c r="R53">
        <v>894.5</v>
      </c>
      <c r="S53">
        <v>21369</v>
      </c>
      <c r="T53">
        <v>56</v>
      </c>
      <c r="V53">
        <v>898</v>
      </c>
    </row>
    <row r="54" spans="1:22" x14ac:dyDescent="0.2">
      <c r="A54" t="s">
        <v>1121</v>
      </c>
      <c r="B54">
        <v>460</v>
      </c>
      <c r="C54">
        <v>89</v>
      </c>
      <c r="D54">
        <v>864</v>
      </c>
      <c r="E54">
        <v>3080</v>
      </c>
      <c r="F54">
        <v>1657</v>
      </c>
      <c r="G54">
        <v>1706</v>
      </c>
      <c r="J54">
        <v>1323</v>
      </c>
      <c r="L54">
        <v>3610</v>
      </c>
      <c r="V54">
        <v>36</v>
      </c>
    </row>
    <row r="55" spans="1:22" x14ac:dyDescent="0.2">
      <c r="A55" t="s">
        <v>1927</v>
      </c>
      <c r="F55">
        <v>861</v>
      </c>
      <c r="G55">
        <v>722</v>
      </c>
      <c r="H55">
        <v>338</v>
      </c>
    </row>
    <row r="56" spans="1:22" x14ac:dyDescent="0.2">
      <c r="A56" t="s">
        <v>412</v>
      </c>
      <c r="F56">
        <v>26</v>
      </c>
      <c r="G56">
        <v>216</v>
      </c>
      <c r="H56">
        <v>634</v>
      </c>
      <c r="J56">
        <v>1016</v>
      </c>
      <c r="K56">
        <v>2317</v>
      </c>
    </row>
    <row r="57" spans="1:22" x14ac:dyDescent="0.2">
      <c r="A57" t="s">
        <v>1929</v>
      </c>
      <c r="G57">
        <v>336</v>
      </c>
      <c r="I57">
        <v>500</v>
      </c>
      <c r="J57">
        <v>683</v>
      </c>
    </row>
    <row r="58" spans="1:22" x14ac:dyDescent="0.2">
      <c r="A58" t="s">
        <v>1917</v>
      </c>
      <c r="J58">
        <v>1775</v>
      </c>
      <c r="K58">
        <v>2100</v>
      </c>
      <c r="L58">
        <v>716</v>
      </c>
      <c r="M58">
        <v>283</v>
      </c>
      <c r="N58">
        <v>6596</v>
      </c>
    </row>
    <row r="59" spans="1:22" x14ac:dyDescent="0.2">
      <c r="A59" t="s">
        <v>2046</v>
      </c>
      <c r="B59">
        <v>1006</v>
      </c>
      <c r="C59">
        <v>89</v>
      </c>
      <c r="D59">
        <v>864</v>
      </c>
      <c r="E59">
        <v>3080</v>
      </c>
      <c r="F59">
        <v>2544</v>
      </c>
      <c r="G59">
        <v>2980</v>
      </c>
      <c r="H59">
        <v>972</v>
      </c>
      <c r="I59">
        <v>500</v>
      </c>
      <c r="J59">
        <v>4797</v>
      </c>
      <c r="K59">
        <v>4417</v>
      </c>
      <c r="L59">
        <v>4326</v>
      </c>
      <c r="M59">
        <v>283</v>
      </c>
      <c r="N59">
        <v>6596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Sandra to complete</vt:lpstr>
      <vt:lpstr>Example</vt:lpstr>
      <vt:lpstr>Summary</vt:lpstr>
      <vt:lpstr>Ward Analysis</vt:lpstr>
      <vt:lpstr>List of projects</vt:lpstr>
      <vt:lpstr>Pivot</vt:lpstr>
      <vt:lpstr>Pivot (2)</vt:lpstr>
      <vt:lpstr>Pivot (3)</vt:lpstr>
      <vt:lpstr>Presentation Graph</vt:lpstr>
      <vt:lpstr>Ward Analysis Pivot Data</vt:lpstr>
      <vt:lpstr>LBTH Local Plan</vt:lpstr>
      <vt:lpstr>Density</vt:lpstr>
      <vt:lpstr>Hotel</vt:lpstr>
      <vt:lpstr>Height Graph</vt:lpstr>
      <vt:lpstr>NLA</vt:lpstr>
      <vt:lpstr>Skyscraper.com</vt:lpstr>
      <vt:lpstr>Pipeline</vt:lpstr>
      <vt:lpstr>Wood Wharf School calc</vt:lpstr>
      <vt:lpstr>Presentations</vt:lpstr>
      <vt:lpstr>Other</vt:lpstr>
      <vt:lpstr>Sheet1</vt:lpstr>
      <vt:lpstr>Walk</vt:lpstr>
      <vt:lpstr>Project Stone</vt:lpstr>
      <vt:lpstr>Sheet2</vt:lpstr>
      <vt:lpstr>Population stats</vt:lpstr>
      <vt:lpstr>Sheet4</vt:lpstr>
      <vt:lpstr>Sandra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Wood</dc:creator>
  <cp:lastModifiedBy>Andrew Wood</cp:lastModifiedBy>
  <cp:lastPrinted>2017-03-07T14:48:38Z</cp:lastPrinted>
  <dcterms:created xsi:type="dcterms:W3CDTF">2014-02-03T08:28:55Z</dcterms:created>
  <dcterms:modified xsi:type="dcterms:W3CDTF">2017-03-16T22:43:13Z</dcterms:modified>
</cp:coreProperties>
</file>